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365" activeTab="0"/>
  </bookViews>
  <sheets>
    <sheet name="FAKTA" sheetId="1" r:id="rId1"/>
    <sheet name="manuell PU+LAF" sheetId="2" r:id="rId2"/>
    <sheet name="jämkning" sheetId="3" r:id="rId3"/>
    <sheet name="ink eft 65,67, uppskjutet uttag" sheetId="4" r:id="rId4"/>
    <sheet name="ink eft pens, uttag 65,67" sheetId="5" r:id="rId5"/>
    <sheet name="uppdat-hjälpberäkn" sheetId="6" r:id="rId6"/>
    <sheet name="Garantipens.fom aug 2022" sheetId="7" r:id="rId7"/>
    <sheet name="ink.pens.tillägg" sheetId="8" r:id="rId8"/>
    <sheet name="Blad1" sheetId="9" state="hidden" r:id="rId9"/>
    <sheet name="Blad2" sheetId="10" state="hidden" r:id="rId10"/>
    <sheet name="fiktiva talet" sheetId="11" state="hidden" r:id="rId11"/>
  </sheets>
  <definedNames/>
  <calcPr fullCalcOnLoad="1"/>
</workbook>
</file>

<file path=xl/comments1.xml><?xml version="1.0" encoding="utf-8"?>
<comments xmlns="http://schemas.openxmlformats.org/spreadsheetml/2006/main">
  <authors>
    <author>Carl Tibell</author>
    <author>TIBCAR</author>
    <author>tibcar</author>
    <author>?sa</author>
    <author>Calle</author>
  </authors>
  <commentList>
    <comment ref="D9" authorId="0">
      <text>
        <r>
          <rPr>
            <sz val="8"/>
            <rFont val="Tahoma"/>
            <family val="0"/>
          </rPr>
          <t xml:space="preserve">Beloppet avrundas nedåt till närmaste hundratal.
</t>
        </r>
      </text>
    </comment>
    <comment ref="Q10" authorId="1">
      <text>
        <r>
          <rPr>
            <sz val="8"/>
            <rFont val="Tahoma"/>
            <family val="2"/>
          </rPr>
          <t xml:space="preserve">Adm.kostnad skall anges med 
</t>
        </r>
        <r>
          <rPr>
            <b/>
            <sz val="8"/>
            <rFont val="Tahoma"/>
            <family val="0"/>
          </rPr>
          <t xml:space="preserve">positivt belopp.
</t>
        </r>
        <r>
          <rPr>
            <sz val="8"/>
            <rFont val="Tahoma"/>
            <family val="2"/>
          </rPr>
          <t>Ange 0 vid enbart garantiersättning</t>
        </r>
      </text>
    </comment>
    <comment ref="G40" authorId="1">
      <text>
        <r>
          <rPr>
            <sz val="8"/>
            <rFont val="Tahoma"/>
            <family val="2"/>
          </rPr>
          <t xml:space="preserve">T.ex. kända kommande ink.ökningar( karriäreffekt), ev. inkomstförlust som uppkommit före första år med förlust. (Inkomst under akuttid före år 1999 ska uppräknas med 0,93. D.v.s.  xxxx/ 0,93)
Om PMs PU för fastställelseåret är </t>
        </r>
        <r>
          <rPr>
            <b/>
            <sz val="8"/>
            <rFont val="Tahoma"/>
            <family val="2"/>
          </rPr>
          <t>lägre</t>
        </r>
        <r>
          <rPr>
            <sz val="8"/>
            <rFont val="Tahoma"/>
            <family val="2"/>
          </rPr>
          <t xml:space="preserve"> än framräknat PU ska förlusten ökas. 
Ex.
Framräknat PU:         320 000
Fk PU:                       </t>
        </r>
        <r>
          <rPr>
            <u val="single"/>
            <sz val="8"/>
            <rFont val="Tahoma"/>
            <family val="2"/>
          </rPr>
          <t xml:space="preserve"> 210 000</t>
        </r>
        <r>
          <rPr>
            <sz val="8"/>
            <rFont val="Tahoma"/>
            <family val="2"/>
          </rPr>
          <t xml:space="preserve">
skillnad:                     110 000</t>
        </r>
        <r>
          <rPr>
            <b/>
            <sz val="8"/>
            <rFont val="Tahoma"/>
            <family val="0"/>
          </rPr>
          <t xml:space="preserve">
</t>
        </r>
        <r>
          <rPr>
            <sz val="8"/>
            <rFont val="Tahoma"/>
            <family val="2"/>
          </rPr>
          <t xml:space="preserve">110 000 / 0,93 =      118 280
118 280 x </t>
        </r>
        <r>
          <rPr>
            <sz val="8"/>
            <color indexed="10"/>
            <rFont val="Tahoma"/>
            <family val="2"/>
          </rPr>
          <t>1.06%</t>
        </r>
        <r>
          <rPr>
            <sz val="8"/>
            <rFont val="Tahoma"/>
            <family val="2"/>
          </rPr>
          <t xml:space="preserve"> =       1 254 
Till höger läggs in:          1 254 </t>
        </r>
        <r>
          <rPr>
            <b/>
            <sz val="8"/>
            <rFont val="Tahoma"/>
            <family val="0"/>
          </rPr>
          <t xml:space="preserve">
OBS. </t>
        </r>
        <r>
          <rPr>
            <sz val="8"/>
            <rFont val="Tahoma"/>
            <family val="2"/>
          </rPr>
          <t xml:space="preserve">Ex ovan anger </t>
        </r>
        <r>
          <rPr>
            <sz val="8"/>
            <color indexed="10"/>
            <rFont val="Tahoma"/>
            <family val="2"/>
          </rPr>
          <t>1,06%</t>
        </r>
        <r>
          <rPr>
            <sz val="8"/>
            <rFont val="Tahoma"/>
            <family val="2"/>
          </rPr>
          <t xml:space="preserve">. Procentsiffran </t>
        </r>
        <r>
          <rPr>
            <u val="single"/>
            <sz val="8"/>
            <rFont val="Tahoma"/>
            <family val="2"/>
          </rPr>
          <t>ska korrigeras</t>
        </r>
        <r>
          <rPr>
            <sz val="8"/>
            <rFont val="Tahoma"/>
            <family val="2"/>
          </rPr>
          <t xml:space="preserve"> i enlighet med upplysningsrutan till vänster, den</t>
        </r>
        <r>
          <rPr>
            <u val="single"/>
            <sz val="8"/>
            <rFont val="Tahoma"/>
            <family val="2"/>
          </rPr>
          <t xml:space="preserve"> övre</t>
        </r>
        <r>
          <rPr>
            <sz val="8"/>
            <rFont val="Tahoma"/>
            <family val="2"/>
          </rPr>
          <t xml:space="preserve"> raden,rödmarkerat. Faktorn ändras vid ändrat delningstal för 65 år.</t>
        </r>
      </text>
    </comment>
    <comment ref="K40" authorId="1">
      <text>
        <r>
          <rPr>
            <sz val="8"/>
            <rFont val="Tahoma"/>
            <family val="2"/>
          </rPr>
          <t>För in det manuellt beräknade beloppet beräknat med 
faktor</t>
        </r>
        <r>
          <rPr>
            <sz val="8"/>
            <color indexed="10"/>
            <rFont val="Tahoma"/>
            <family val="2"/>
          </rPr>
          <t xml:space="preserve"> …. %</t>
        </r>
        <r>
          <rPr>
            <sz val="8"/>
            <rFont val="Tahoma"/>
            <family val="2"/>
          </rPr>
          <t xml:space="preserve"> enligt upplysningsrutan till vänster.Den </t>
        </r>
        <r>
          <rPr>
            <u val="single"/>
            <sz val="8"/>
            <rFont val="Tahoma"/>
            <family val="2"/>
          </rPr>
          <t>övre</t>
        </r>
        <r>
          <rPr>
            <sz val="8"/>
            <rFont val="Tahoma"/>
            <family val="2"/>
          </rPr>
          <t xml:space="preserve"> raden, rödmarkerat.
D.v.s.  ...... * </t>
        </r>
        <r>
          <rPr>
            <sz val="8"/>
            <color indexed="10"/>
            <rFont val="Tahoma"/>
            <family val="2"/>
          </rPr>
          <t>.....%</t>
        </r>
        <r>
          <rPr>
            <sz val="8"/>
            <rFont val="Tahoma"/>
            <family val="2"/>
          </rPr>
          <t xml:space="preserve">
(belopp *</t>
        </r>
        <r>
          <rPr>
            <sz val="8"/>
            <color indexed="10"/>
            <rFont val="Tahoma"/>
            <family val="2"/>
          </rPr>
          <t xml:space="preserve"> faktorprocent</t>
        </r>
        <r>
          <rPr>
            <sz val="8"/>
            <rFont val="Tahoma"/>
            <family val="2"/>
          </rPr>
          <t>)
Vid ev. oklarhet se anvisningarna
(OBS vid den manuella beräkningen ska inkomsttaket beaktas)</t>
        </r>
        <r>
          <rPr>
            <b/>
            <sz val="8"/>
            <rFont val="Tahoma"/>
            <family val="0"/>
          </rPr>
          <t xml:space="preserve">
</t>
        </r>
      </text>
    </comment>
    <comment ref="M10" authorId="2">
      <text>
        <r>
          <rPr>
            <sz val="8"/>
            <rFont val="Tahoma"/>
            <family val="2"/>
          </rPr>
          <t>Pensionsmyndighetens (PM) databild:</t>
        </r>
        <r>
          <rPr>
            <b/>
            <sz val="8"/>
            <rFont val="Tahoma"/>
            <family val="0"/>
          </rPr>
          <t xml:space="preserve">
pensionsunderlag
</t>
        </r>
        <r>
          <rPr>
            <sz val="8"/>
            <rFont val="Tahoma"/>
            <family val="2"/>
          </rPr>
          <t>Om PU saknas för ett år ska siffran 0 läggas in</t>
        </r>
      </text>
    </comment>
    <comment ref="Q11" authorId="2">
      <text>
        <r>
          <rPr>
            <sz val="8"/>
            <rFont val="Tahoma"/>
            <family val="2"/>
          </rPr>
          <t>Pensionsmyndighetens (PM) databild:</t>
        </r>
        <r>
          <rPr>
            <b/>
            <sz val="8"/>
            <rFont val="Tahoma"/>
            <family val="0"/>
          </rPr>
          <t xml:space="preserve">
Övriga PBH reducering av garantipension</t>
        </r>
      </text>
    </comment>
    <comment ref="P11" authorId="2">
      <text>
        <r>
          <rPr>
            <sz val="8"/>
            <rFont val="Tahoma"/>
            <family val="2"/>
          </rPr>
          <t>Pensionsmyndighetens (PM) databild:</t>
        </r>
        <r>
          <rPr>
            <b/>
            <sz val="8"/>
            <rFont val="Tahoma"/>
            <family val="0"/>
          </rPr>
          <t xml:space="preserve">
Övriga PBH reducering av garantipension</t>
        </r>
      </text>
    </comment>
    <comment ref="R9" authorId="0">
      <text>
        <r>
          <rPr>
            <sz val="8"/>
            <rFont val="Tahoma"/>
            <family val="2"/>
          </rPr>
          <t>Pensionsmyndighetens (PM) databild:</t>
        </r>
        <r>
          <rPr>
            <b/>
            <sz val="8"/>
            <rFont val="Tahoma"/>
            <family val="0"/>
          </rPr>
          <t xml:space="preserve">
Pensionsunderlag.</t>
        </r>
      </text>
    </comment>
    <comment ref="R10" authorId="0">
      <text>
        <r>
          <rPr>
            <b/>
            <sz val="8"/>
            <rFont val="Tahoma"/>
            <family val="0"/>
          </rPr>
          <t xml:space="preserve">SA-PGB </t>
        </r>
        <r>
          <rPr>
            <sz val="8"/>
            <rFont val="Tahoma"/>
            <family val="2"/>
          </rPr>
          <t>&amp;</t>
        </r>
        <r>
          <rPr>
            <b/>
            <sz val="8"/>
            <rFont val="Tahoma"/>
            <family val="0"/>
          </rPr>
          <t xml:space="preserve"> AP-PGB </t>
        </r>
        <r>
          <rPr>
            <sz val="8"/>
            <rFont val="Tahoma"/>
            <family val="2"/>
          </rPr>
          <t xml:space="preserve">ska </t>
        </r>
        <r>
          <rPr>
            <b/>
            <sz val="8"/>
            <rFont val="Tahoma"/>
            <family val="0"/>
          </rPr>
          <t>inte</t>
        </r>
        <r>
          <rPr>
            <sz val="8"/>
            <rFont val="Tahoma"/>
            <family val="2"/>
          </rPr>
          <t xml:space="preserve"> tas upp.
För PL-PGB och S-PGB ska detta tas upp endast om detta skulle ha varit aktuellt även skadan förutan.</t>
        </r>
      </text>
    </comment>
    <comment ref="C8" authorId="0">
      <text>
        <r>
          <rPr>
            <sz val="8"/>
            <rFont val="Tahoma"/>
            <family val="2"/>
          </rPr>
          <t>Fiktivt underlag beräknas då  förtidspension/sjukersättning beviljats av annan orsak än skadan</t>
        </r>
      </text>
    </comment>
    <comment ref="C9" authorId="0">
      <text>
        <r>
          <rPr>
            <sz val="8"/>
            <rFont val="Tahoma"/>
            <family val="2"/>
          </rPr>
          <t xml:space="preserve">Fiktivt underlag, formler:
</t>
        </r>
        <r>
          <rPr>
            <i/>
            <sz val="8"/>
            <rFont val="Tahoma"/>
            <family val="2"/>
          </rPr>
          <t>Före 2003:</t>
        </r>
        <r>
          <rPr>
            <sz val="8"/>
            <rFont val="Tahoma"/>
            <family val="2"/>
          </rPr>
          <t xml:space="preserve"> </t>
        </r>
        <r>
          <rPr>
            <b/>
            <sz val="8"/>
            <rFont val="Tahoma"/>
            <family val="2"/>
          </rPr>
          <t>(AP+1)*förhpbb/0,93*grad annan orsak*poängår/30</t>
        </r>
        <r>
          <rPr>
            <sz val="8"/>
            <rFont val="Tahoma"/>
            <family val="2"/>
          </rPr>
          <t xml:space="preserve">
</t>
        </r>
        <r>
          <rPr>
            <i/>
            <sz val="8"/>
            <rFont val="Tahoma"/>
            <family val="2"/>
          </rPr>
          <t>from 2003:</t>
        </r>
        <r>
          <rPr>
            <b/>
            <sz val="8"/>
            <rFont val="Tahoma"/>
            <family val="2"/>
          </rPr>
          <t>(MP+1)*pbb*grad annan orsak * poängår/30</t>
        </r>
        <r>
          <rPr>
            <sz val="8"/>
            <rFont val="Tahoma"/>
            <family val="2"/>
          </rPr>
          <t xml:space="preserve">
</t>
        </r>
        <r>
          <rPr>
            <i/>
            <sz val="8"/>
            <rFont val="Tahoma"/>
            <family val="2"/>
          </rPr>
          <t>Nybeviljad eller ändrad from 2003:</t>
        </r>
        <r>
          <rPr>
            <sz val="8"/>
            <rFont val="Tahoma"/>
            <family val="2"/>
          </rPr>
          <t xml:space="preserve">
</t>
        </r>
        <r>
          <rPr>
            <b/>
            <sz val="8"/>
            <rFont val="Tahoma"/>
            <family val="2"/>
          </rPr>
          <t xml:space="preserve">sjukersättning/0,64*grad annan orsak / grad total
</t>
        </r>
        <r>
          <rPr>
            <sz val="8"/>
            <rFont val="Tahoma"/>
            <family val="2"/>
          </rPr>
          <t xml:space="preserve">Om fastställelseåret sammanfaller med år för 65 år så reduceras det fiktiva talet. </t>
        </r>
      </text>
    </comment>
    <comment ref="C11" authorId="0">
      <text>
        <r>
          <rPr>
            <sz val="8"/>
            <rFont val="Tahoma"/>
            <family val="2"/>
          </rPr>
          <t>Inmatat B-PGB/PL-PGB/S-PGB (fr.o.m. 1999: PGB/0,93) sammanläggs med ev. fiktivt underlag.</t>
        </r>
        <r>
          <rPr>
            <b/>
            <sz val="8"/>
            <rFont val="Tahoma"/>
            <family val="0"/>
          </rPr>
          <t xml:space="preserve">
</t>
        </r>
      </text>
    </comment>
    <comment ref="N3" authorId="0">
      <text>
        <r>
          <rPr>
            <sz val="8"/>
            <rFont val="Tahoma"/>
            <family val="2"/>
          </rPr>
          <t>Pensionsmyndighetens (PM) databild:</t>
        </r>
        <r>
          <rPr>
            <b/>
            <sz val="8"/>
            <rFont val="Tahoma"/>
            <family val="0"/>
          </rPr>
          <t xml:space="preserve"> reducering av garantipension
</t>
        </r>
        <r>
          <rPr>
            <sz val="8"/>
            <rFont val="Tahoma"/>
            <family val="2"/>
          </rPr>
          <t>Ingåend PBH får inte vara lägre än 1 kr</t>
        </r>
      </text>
    </comment>
    <comment ref="S7" authorId="0">
      <text>
        <r>
          <rPr>
            <sz val="8"/>
            <rFont val="Tahoma"/>
            <family val="2"/>
          </rPr>
          <t>Antagandepoäng behöver anges om sjukbidrag/förtidspension beviljats före år 2003 av annan orsak än skadan. (Beräkning av fiktivt underlag)</t>
        </r>
      </text>
    </comment>
    <comment ref="Q2" authorId="0">
      <text>
        <r>
          <rPr>
            <sz val="8"/>
            <rFont val="Tahoma"/>
            <family val="2"/>
          </rPr>
          <t xml:space="preserve">Vid skadebetingad partiell sjukersättning måste du vid beräkning av PU komma ihåg att ange  </t>
        </r>
        <r>
          <rPr>
            <u val="single"/>
            <sz val="8"/>
            <rFont val="Tahoma"/>
            <family val="2"/>
          </rPr>
          <t>inkomst som skadad</t>
        </r>
        <r>
          <rPr>
            <sz val="8"/>
            <rFont val="Tahoma"/>
            <family val="2"/>
          </rPr>
          <t xml:space="preserve"> på flik "manuell PU+LAF". 
Fliken "manuell PU+LAF" ska då redovisas tillsammans med flik "Fakta"</t>
        </r>
      </text>
    </comment>
    <comment ref="K7" authorId="0">
      <text>
        <r>
          <rPr>
            <sz val="8"/>
            <rFont val="Tahoma"/>
            <family val="2"/>
          </rPr>
          <t xml:space="preserve">Uppgiften behövs om sjukbidrag/ förtidspension beviljats före år 2003. Antal poängår framgår av FK:s beslut om sjukbidr/fp. För hel pensionsförmån fordras 30 poängår. </t>
        </r>
      </text>
    </comment>
    <comment ref="R2" authorId="0">
      <text>
        <r>
          <rPr>
            <sz val="8"/>
            <rFont val="Tahoma"/>
            <family val="2"/>
          </rPr>
          <t>Ange (grad) sjukbidrag / förtidspension eller sjukersättning som beviljats av annan orsak än skadan. T.ex. sjukersättning p.g.a. sjukdom.</t>
        </r>
      </text>
    </comment>
    <comment ref="S1" authorId="0">
      <text>
        <r>
          <rPr>
            <sz val="8"/>
            <rFont val="Tahoma"/>
            <family val="2"/>
          </rPr>
          <t>Fyll i årsbelopp</t>
        </r>
      </text>
    </comment>
    <comment ref="K3" authorId="0">
      <text>
        <r>
          <rPr>
            <sz val="8"/>
            <rFont val="Tahoma"/>
            <family val="2"/>
          </rPr>
          <t xml:space="preserve">Om skadebetingad sjukersättning beviljats före första år med förlust eller
om förlusten täckts genom samordningsförmån som inte är pensionsgrundande ska det året läggas in. </t>
        </r>
      </text>
    </comment>
    <comment ref="N40" authorId="0">
      <text>
        <r>
          <rPr>
            <sz val="8"/>
            <rFont val="Tahoma"/>
            <family val="2"/>
          </rPr>
          <t xml:space="preserve">Om PMs PU för fastställelseåret är högre än framräknat PU ska förlusten minskas. 
Ex. 
Fk  PU:                       320 000
framräknat PU:         </t>
        </r>
        <r>
          <rPr>
            <u val="single"/>
            <sz val="8"/>
            <rFont val="Tahoma"/>
            <family val="2"/>
          </rPr>
          <t xml:space="preserve">  210 000</t>
        </r>
        <r>
          <rPr>
            <sz val="8"/>
            <rFont val="Tahoma"/>
            <family val="2"/>
          </rPr>
          <t xml:space="preserve">
skillnad:                       110 000
110 000 * </t>
        </r>
        <r>
          <rPr>
            <sz val="8"/>
            <color indexed="10"/>
            <rFont val="Tahoma"/>
            <family val="2"/>
          </rPr>
          <t>1,14%</t>
        </r>
        <r>
          <rPr>
            <sz val="8"/>
            <rFont val="Tahoma"/>
            <family val="2"/>
          </rPr>
          <t xml:space="preserve"> =        1 254
Till höger läggs in:           1 254 
</t>
        </r>
        <r>
          <rPr>
            <b/>
            <sz val="8"/>
            <rFont val="Tahoma"/>
            <family val="2"/>
          </rPr>
          <t>OBS</t>
        </r>
        <r>
          <rPr>
            <sz val="8"/>
            <rFont val="Tahoma"/>
            <family val="2"/>
          </rPr>
          <t xml:space="preserve">  Ex ovan anger </t>
        </r>
        <r>
          <rPr>
            <sz val="8"/>
            <color indexed="10"/>
            <rFont val="Tahoma"/>
            <family val="2"/>
          </rPr>
          <t>1,14%</t>
        </r>
        <r>
          <rPr>
            <sz val="8"/>
            <rFont val="Tahoma"/>
            <family val="2"/>
          </rPr>
          <t xml:space="preserve">.Procentsiffran </t>
        </r>
        <r>
          <rPr>
            <u val="single"/>
            <sz val="8"/>
            <rFont val="Tahoma"/>
            <family val="2"/>
          </rPr>
          <t xml:space="preserve"> ska korrigeras</t>
        </r>
        <r>
          <rPr>
            <sz val="8"/>
            <rFont val="Tahoma"/>
            <family val="2"/>
          </rPr>
          <t xml:space="preserve"> i enlighet med upplysningsrutan till vänster den</t>
        </r>
        <r>
          <rPr>
            <u val="single"/>
            <sz val="8"/>
            <rFont val="Tahoma"/>
            <family val="2"/>
          </rPr>
          <t xml:space="preserve"> nedre</t>
        </r>
        <r>
          <rPr>
            <sz val="8"/>
            <rFont val="Tahoma"/>
            <family val="2"/>
          </rPr>
          <t xml:space="preserve"> raden, rödmarkerat. Faktorn ändras vid ändrat delningstal för 65 år.</t>
        </r>
      </text>
    </comment>
    <comment ref="Q40" authorId="0">
      <text>
        <r>
          <rPr>
            <sz val="8"/>
            <rFont val="Tahoma"/>
            <family val="2"/>
          </rPr>
          <t xml:space="preserve">Manuellt framräknade belopp ska multipliceras med faktorprocent enligt upplysningsrutan till vänster den </t>
        </r>
        <r>
          <rPr>
            <u val="single"/>
            <sz val="8"/>
            <rFont val="Tahoma"/>
            <family val="2"/>
          </rPr>
          <t>nedre</t>
        </r>
        <r>
          <rPr>
            <sz val="8"/>
            <rFont val="Tahoma"/>
            <family val="2"/>
          </rPr>
          <t xml:space="preserve"> raden, rödmarkerat. 
D.v.s:  ……..*</t>
        </r>
        <r>
          <rPr>
            <sz val="8"/>
            <color indexed="10"/>
            <rFont val="Tahoma"/>
            <family val="2"/>
          </rPr>
          <t>………%</t>
        </r>
        <r>
          <rPr>
            <sz val="8"/>
            <rFont val="Tahoma"/>
            <family val="2"/>
          </rPr>
          <t xml:space="preserve">
(belopp *</t>
        </r>
        <r>
          <rPr>
            <sz val="8"/>
            <color indexed="10"/>
            <rFont val="Tahoma"/>
            <family val="2"/>
          </rPr>
          <t xml:space="preserve"> faktorprocent</t>
        </r>
        <r>
          <rPr>
            <sz val="8"/>
            <rFont val="Tahoma"/>
            <family val="2"/>
          </rPr>
          <t xml:space="preserve">)
Vid ev. oklarhet, se anvisningarna.
</t>
        </r>
        <r>
          <rPr>
            <b/>
            <sz val="8"/>
            <rFont val="Tahoma"/>
            <family val="0"/>
          </rPr>
          <t xml:space="preserve">
 </t>
        </r>
      </text>
    </comment>
    <comment ref="D44" authorId="0">
      <text>
        <r>
          <rPr>
            <sz val="8"/>
            <rFont val="Tahoma"/>
            <family val="2"/>
          </rPr>
          <t>Vid ändrat delningstal ändras beloppen automatiskt</t>
        </r>
      </text>
    </comment>
    <comment ref="R41" authorId="0">
      <text>
        <r>
          <rPr>
            <sz val="8"/>
            <rFont val="Tahoma"/>
            <family val="2"/>
          </rPr>
          <t>Vid fastställelseår före 2008.
Om den skadade har skadebetingad sjukersättning under år 2007 lämnas ett schablonbelopp om 500 kr som kompensation (avdrag) för sänkningen av antagandeinkomsten till 80%.
500 kr gäller vid hel sjukersättning.</t>
        </r>
      </text>
    </comment>
    <comment ref="T2" authorId="3">
      <text>
        <r>
          <rPr>
            <sz val="8"/>
            <rFont val="Tahoma"/>
            <family val="2"/>
          </rPr>
          <t xml:space="preserve">Om den skadade endast är beviljad garantiersättning ska siffran 1 läggas in.
Om den skadade blir helt arbetsför efter period med sjukersättning ska du ange året samt 0% sjukersättning samt siffran 1 för att förslag till PU ska bli mer korrekt.
</t>
        </r>
      </text>
    </comment>
    <comment ref="Q7" authorId="0">
      <text>
        <r>
          <rPr>
            <sz val="8"/>
            <rFont val="Tahoma"/>
            <family val="2"/>
          </rPr>
          <t xml:space="preserve">Om den skadade endast varit beviljad förtidspension eller sjukbidrag med folkpension och pensionstillskott läggs 0,00 in i denna ruta. </t>
        </r>
      </text>
    </comment>
    <comment ref="S45" authorId="0">
      <text>
        <r>
          <rPr>
            <sz val="8"/>
            <rFont val="Tahoma"/>
            <family val="2"/>
          </rPr>
          <t>Förlust visas inte här om någon av flikarna ink. efter 65 år är ifylld.</t>
        </r>
      </text>
    </comment>
    <comment ref="I45" authorId="0">
      <text>
        <r>
          <rPr>
            <sz val="8"/>
            <rFont val="Tahoma"/>
            <family val="2"/>
          </rPr>
          <t>Förlust visas inte här om någon av flikarna ink efter 65 år är ifylld.</t>
        </r>
      </text>
    </comment>
    <comment ref="J9" authorId="0">
      <text>
        <r>
          <rPr>
            <sz val="8"/>
            <rFont val="Tahoma"/>
            <family val="2"/>
          </rPr>
          <t>Försäkringstid. Vid ej full försäkringstid mata in rätt försäkringstid (max 40 år).
Om ingen försäkringstid anges beräknas garantipensionen med full tid (40år)</t>
        </r>
      </text>
    </comment>
    <comment ref="R1" authorId="4">
      <text>
        <r>
          <rPr>
            <b/>
            <sz val="9"/>
            <rFont val="Tahoma"/>
            <family val="0"/>
          </rPr>
          <t>Rutan ska inte fyllas i /vara blank, om sjukersättningsgrad inte är aktuell</t>
        </r>
      </text>
    </comment>
    <comment ref="P10" authorId="4">
      <text>
        <r>
          <rPr>
            <sz val="9"/>
            <rFont val="Tahoma"/>
            <family val="2"/>
          </rPr>
          <t>Ange 0 vid enbart garantiersättning.</t>
        </r>
      </text>
    </comment>
  </commentList>
</comments>
</file>

<file path=xl/comments2.xml><?xml version="1.0" encoding="utf-8"?>
<comments xmlns="http://schemas.openxmlformats.org/spreadsheetml/2006/main">
  <authors>
    <author>Carl Tibell</author>
    <author>tibcar</author>
    <author>?sa</author>
    <author>Calle</author>
  </authors>
  <commentList>
    <comment ref="E16" authorId="0">
      <text>
        <r>
          <rPr>
            <sz val="8"/>
            <rFont val="Tahoma"/>
            <family val="2"/>
          </rPr>
          <t>Formel</t>
        </r>
        <r>
          <rPr>
            <b/>
            <sz val="8"/>
            <rFont val="Tahoma"/>
            <family val="0"/>
          </rPr>
          <t xml:space="preserve">
(mp+1)*pbb*0,93*grad sjukersättning total</t>
        </r>
      </text>
    </comment>
    <comment ref="K15" authorId="0">
      <text>
        <r>
          <rPr>
            <sz val="8"/>
            <rFont val="Tahoma"/>
            <family val="2"/>
          </rPr>
          <t>Kassans databild:
"</t>
        </r>
        <r>
          <rPr>
            <b/>
            <sz val="8"/>
            <rFont val="Tahoma"/>
            <family val="2"/>
          </rPr>
          <t>SA-PGB/AP-PGB Pensionsgrundande belopp</t>
        </r>
        <r>
          <rPr>
            <sz val="8"/>
            <rFont val="Tahoma"/>
            <family val="2"/>
          </rPr>
          <t xml:space="preserve">"
</t>
        </r>
        <r>
          <rPr>
            <b/>
            <sz val="8"/>
            <rFont val="Tahoma"/>
            <family val="2"/>
          </rPr>
          <t>Arbetsskadelivränta (PGI-AL) omräknat till årsbelopp.</t>
        </r>
        <r>
          <rPr>
            <sz val="8"/>
            <rFont val="Tahoma"/>
            <family val="2"/>
          </rPr>
          <t xml:space="preserve">
</t>
        </r>
        <r>
          <rPr>
            <i/>
            <sz val="8"/>
            <rFont val="Tahoma"/>
            <family val="2"/>
          </rPr>
          <t>OBS När du beställer databilden måste du precisera vilket år du önskar få uppgift om.</t>
        </r>
        <r>
          <rPr>
            <sz val="8"/>
            <rFont val="Tahoma"/>
            <family val="2"/>
          </rPr>
          <t xml:space="preserve">
------------------------------
Pensionsgrundande
LAF livränta skall tas upp. Skattekoder:
112  egenlivränta
999 ej utbetald
----------------------------
LAF livränta som är utbetald men ej är pensionsgrundande skall ej ingå ( skattekod 450)</t>
        </r>
        <r>
          <rPr>
            <b/>
            <sz val="8"/>
            <rFont val="Tahoma"/>
            <family val="0"/>
          </rPr>
          <t xml:space="preserve">
</t>
        </r>
      </text>
    </comment>
    <comment ref="H16" authorId="0">
      <text>
        <r>
          <rPr>
            <b/>
            <sz val="8"/>
            <rFont val="Tahoma"/>
            <family val="0"/>
          </rPr>
          <t>Max
7,5 * inkbb</t>
        </r>
      </text>
    </comment>
    <comment ref="O37" authorId="1">
      <text>
        <r>
          <rPr>
            <b/>
            <sz val="8"/>
            <rFont val="Tahoma"/>
            <family val="0"/>
          </rPr>
          <t>Max / taket
7,5 * inkbb</t>
        </r>
      </text>
    </comment>
    <comment ref="L15" authorId="0">
      <text>
        <r>
          <rPr>
            <sz val="8"/>
            <rFont val="Tahoma"/>
            <family val="2"/>
          </rPr>
          <t>Kassans databild:</t>
        </r>
        <r>
          <rPr>
            <b/>
            <sz val="8"/>
            <rFont val="Tahoma"/>
            <family val="0"/>
          </rPr>
          <t xml:space="preserve">
"SA-PGB/AP-PGB Pensionsgrundande belopp"
Pensions grundande ISA omräknat till årsbelopp.
</t>
        </r>
        <r>
          <rPr>
            <i/>
            <sz val="8"/>
            <rFont val="Tahoma"/>
            <family val="2"/>
          </rPr>
          <t>OBS När du begär databilden måste du precisera vilket år du önskar få uppgift om.</t>
        </r>
        <r>
          <rPr>
            <b/>
            <sz val="8"/>
            <rFont val="Tahoma"/>
            <family val="0"/>
          </rPr>
          <t xml:space="preserve">
</t>
        </r>
      </text>
    </comment>
    <comment ref="I14" authorId="2">
      <text>
        <r>
          <rPr>
            <sz val="9"/>
            <rFont val="Tahoma"/>
            <family val="2"/>
          </rPr>
          <t>PU för år före 2003 visas inte</t>
        </r>
      </text>
    </comment>
    <comment ref="I15" authorId="0">
      <text>
        <r>
          <rPr>
            <sz val="8"/>
            <rFont val="Tahoma"/>
            <family val="2"/>
          </rPr>
          <t>Om fastställelseåret också är 65-års året har beloppet reducerats.</t>
        </r>
      </text>
    </comment>
    <comment ref="G18" authorId="0">
      <text>
        <r>
          <rPr>
            <sz val="8"/>
            <rFont val="Tahoma"/>
            <family val="2"/>
          </rPr>
          <t>Om fastställelseåret sammanfaller med år för 65 år har beloppet reducerats.</t>
        </r>
        <r>
          <rPr>
            <b/>
            <sz val="8"/>
            <rFont val="Tahoma"/>
            <family val="0"/>
          </rPr>
          <t xml:space="preserve"> </t>
        </r>
      </text>
    </comment>
    <comment ref="R16" authorId="0">
      <text>
        <r>
          <rPr>
            <sz val="8"/>
            <rFont val="Tahoma"/>
            <family val="0"/>
          </rPr>
          <t>Om fastställelseåret sammanfaller med år för 65 år har beloppen reducerats.</t>
        </r>
      </text>
    </comment>
    <comment ref="R8" authorId="0">
      <text>
        <r>
          <rPr>
            <sz val="8"/>
            <rFont val="Tahoma"/>
            <family val="2"/>
          </rPr>
          <t>Om fastställelseåret sammanfaller med år för 65 år har beloppen reducerats.</t>
        </r>
      </text>
    </comment>
    <comment ref="R25" authorId="0">
      <text>
        <r>
          <rPr>
            <sz val="8"/>
            <rFont val="Tahoma"/>
            <family val="2"/>
          </rPr>
          <t>Om fastställelseåret sammanfaller med år för 65 år så reduceras beloppen.</t>
        </r>
      </text>
    </comment>
    <comment ref="K16" authorId="0">
      <text>
        <r>
          <rPr>
            <sz val="8"/>
            <rFont val="Tahoma"/>
            <family val="2"/>
          </rPr>
          <t>Fyller den skadade 65 år under fastställelseåret ska helt årsbelopp inmatas beträffande sjukersättning och LAF ( Beloppen i kassans databild ska omräknas till årsbelopp).</t>
        </r>
      </text>
    </comment>
    <comment ref="L16" authorId="0">
      <text>
        <r>
          <rPr>
            <sz val="8"/>
            <rFont val="Tahoma"/>
            <family val="0"/>
          </rPr>
          <t>Fyller den skadade 65 år under fastställelseåret ska helt årsbelopp inmatas beträffande sjukersättning och LAF ( Beloppen i kassans databild ska omräknas till årsbelopp).</t>
        </r>
      </text>
    </comment>
    <comment ref="D18" authorId="0">
      <text>
        <r>
          <rPr>
            <sz val="8"/>
            <rFont val="Tahoma"/>
            <family val="2"/>
          </rPr>
          <t>Fyller den skadade 65 år under fastställelseåret ska helt årsbelopp inmatas.</t>
        </r>
      </text>
    </comment>
    <comment ref="D16" authorId="0">
      <text>
        <r>
          <rPr>
            <b/>
            <sz val="8"/>
            <rFont val="Tahoma"/>
            <family val="0"/>
          </rPr>
          <t>Hämtas från fakt. ink. som skadad och som är repr. för framtiden.</t>
        </r>
      </text>
    </comment>
    <comment ref="F16" authorId="3">
      <text>
        <r>
          <rPr>
            <b/>
            <sz val="9"/>
            <rFont val="Tahoma"/>
            <family val="0"/>
          </rPr>
          <t>Formel
sjukersättning/0,64*0,93
Fr.o.m. år 2018: 0,647</t>
        </r>
      </text>
    </comment>
  </commentList>
</comments>
</file>

<file path=xl/comments3.xml><?xml version="1.0" encoding="utf-8"?>
<comments xmlns="http://schemas.openxmlformats.org/spreadsheetml/2006/main">
  <authors>
    <author>Carl Tibell</author>
  </authors>
  <commentList>
    <comment ref="B17" authorId="0">
      <text>
        <r>
          <rPr>
            <sz val="8"/>
            <rFont val="Tahoma"/>
            <family val="2"/>
          </rPr>
          <t>ange kvotdel
t.ex.   1/2    2/3</t>
        </r>
      </text>
    </comment>
    <comment ref="I3" authorId="0">
      <text>
        <r>
          <rPr>
            <sz val="8"/>
            <rFont val="Tahoma"/>
            <family val="2"/>
          </rPr>
          <t>Markera med kryss</t>
        </r>
        <r>
          <rPr>
            <b/>
            <sz val="8"/>
            <rFont val="Tahoma"/>
            <family val="2"/>
          </rPr>
          <t xml:space="preserve"> X</t>
        </r>
        <r>
          <rPr>
            <sz val="8"/>
            <rFont val="Tahoma"/>
            <family val="2"/>
          </rPr>
          <t xml:space="preserve"> om den skadade är </t>
        </r>
        <r>
          <rPr>
            <b/>
            <u val="single"/>
            <sz val="8"/>
            <rFont val="Tahoma"/>
            <family val="2"/>
          </rPr>
          <t>gift</t>
        </r>
        <r>
          <rPr>
            <sz val="8"/>
            <rFont val="Tahoma"/>
            <family val="2"/>
          </rPr>
          <t xml:space="preserve"> eller därmed jämställd.
Om den skadade är </t>
        </r>
        <r>
          <rPr>
            <b/>
            <u val="single"/>
            <sz val="8"/>
            <rFont val="Tahoma"/>
            <family val="2"/>
          </rPr>
          <t>ogift</t>
        </r>
        <r>
          <rPr>
            <sz val="8"/>
            <rFont val="Tahoma"/>
            <family val="2"/>
          </rPr>
          <t xml:space="preserve"> ska du låta rutan vara </t>
        </r>
        <r>
          <rPr>
            <b/>
            <sz val="8"/>
            <rFont val="Tahoma"/>
            <family val="2"/>
          </rPr>
          <t>tom</t>
        </r>
        <r>
          <rPr>
            <sz val="8"/>
            <rFont val="Tahoma"/>
            <family val="2"/>
          </rPr>
          <t xml:space="preserve">. </t>
        </r>
      </text>
    </comment>
  </commentList>
</comments>
</file>

<file path=xl/comments4.xml><?xml version="1.0" encoding="utf-8"?>
<comments xmlns="http://schemas.openxmlformats.org/spreadsheetml/2006/main">
  <authors>
    <author>?sa</author>
    <author>Anette Hagstad</author>
  </authors>
  <commentList>
    <comment ref="D15" authorId="0">
      <text>
        <r>
          <rPr>
            <sz val="9"/>
            <rFont val="Tahoma"/>
            <family val="2"/>
          </rPr>
          <t>18,5% * 0,93 / delningstal</t>
        </r>
      </text>
    </comment>
    <comment ref="G55" authorId="0">
      <text>
        <r>
          <rPr>
            <sz val="9"/>
            <rFont val="Tahoma"/>
            <family val="2"/>
          </rPr>
          <t>Beloppet ska inte läggas ihop med den pensionsförlust som räknas fram på flik FAKTA. Beräkningen ska redovisas tillsammans med flik FAKTA</t>
        </r>
      </text>
    </comment>
    <comment ref="I55" authorId="0">
      <text>
        <r>
          <rPr>
            <sz val="9"/>
            <rFont val="Tahoma"/>
            <family val="2"/>
          </rPr>
          <t>Beloppet ska inte läggas ihop med den pensionsförlust som räknas fram på flik FAKTA. Beräkningen ska redovisas tillsammans med flik FAKTA</t>
        </r>
      </text>
    </comment>
    <comment ref="L44" authorId="1">
      <text>
        <r>
          <rPr>
            <b/>
            <sz val="9"/>
            <rFont val="Tahoma"/>
            <family val="0"/>
          </rPr>
          <t>Anette Hagstad:</t>
        </r>
        <r>
          <rPr>
            <sz val="9"/>
            <rFont val="Tahoma"/>
            <family val="0"/>
          </rPr>
          <t xml:space="preserve">
</t>
        </r>
      </text>
    </comment>
  </commentList>
</comments>
</file>

<file path=xl/comments5.xml><?xml version="1.0" encoding="utf-8"?>
<comments xmlns="http://schemas.openxmlformats.org/spreadsheetml/2006/main">
  <authors>
    <author>tibcar</author>
    <author>Carl Tibell</author>
  </authors>
  <commentList>
    <comment ref="I4" authorId="0">
      <text>
        <r>
          <rPr>
            <sz val="8"/>
            <rFont val="Tahoma"/>
            <family val="2"/>
          </rPr>
          <t xml:space="preserve">Pensionsålder kan väljas motsvarande de delningstal som fastställts av Trafikskadenämnden: 
66, 67, 68, 69, 70, 71, 72, 73, 74 eller 75 år. </t>
        </r>
      </text>
    </comment>
    <comment ref="K4" authorId="1">
      <text>
        <r>
          <rPr>
            <sz val="8"/>
            <rFont val="Tahoma"/>
            <family val="2"/>
          </rPr>
          <t>Vid ogift eller därmed jämställd ska rutan vara tom</t>
        </r>
      </text>
    </comment>
    <comment ref="J12" authorId="1">
      <text>
        <r>
          <rPr>
            <sz val="8"/>
            <rFont val="Tahoma"/>
            <family val="2"/>
          </rPr>
          <t>Är skillnaden mellan pension som oskadad och pension som skadad. Belopp hämtas från flik Fakta vid gift eller ogift beroende på kryssmarkeringen ovan. 
Vanligen uppkommer en förlust (positivt belopp) men även överskott (negativt belopp)kan uppkomma.</t>
        </r>
      </text>
    </comment>
  </commentList>
</comments>
</file>

<file path=xl/comments6.xml><?xml version="1.0" encoding="utf-8"?>
<comments xmlns="http://schemas.openxmlformats.org/spreadsheetml/2006/main">
  <authors>
    <author>Carl Tibell</author>
    <author>Calle</author>
  </authors>
  <commentList>
    <comment ref="L39" authorId="0">
      <text>
        <r>
          <rPr>
            <b/>
            <sz val="8"/>
            <rFont val="Tahoma"/>
            <family val="0"/>
          </rPr>
          <t>Förh pbb behövs i formel för fiktiv inkomst</t>
        </r>
      </text>
    </comment>
    <comment ref="N17" authorId="1">
      <text>
        <r>
          <rPr>
            <sz val="9"/>
            <rFont val="Tahoma"/>
            <family val="2"/>
          </rPr>
          <t>Vid ev. 1 dags avvikelse beror
på skottår. Detta påverkar inte beräkningarna</t>
        </r>
        <r>
          <rPr>
            <b/>
            <sz val="9"/>
            <rFont val="Tahoma"/>
            <family val="0"/>
          </rPr>
          <t xml:space="preserve"> </t>
        </r>
      </text>
    </comment>
  </commentList>
</comments>
</file>

<file path=xl/sharedStrings.xml><?xml version="1.0" encoding="utf-8"?>
<sst xmlns="http://schemas.openxmlformats.org/spreadsheetml/2006/main" count="1200" uniqueCount="570">
  <si>
    <t>Namn</t>
  </si>
  <si>
    <t>År</t>
  </si>
  <si>
    <t xml:space="preserve"> utg PBH</t>
  </si>
  <si>
    <t xml:space="preserve">  utg PBH</t>
  </si>
  <si>
    <t>delningstal</t>
  </si>
  <si>
    <t>Ogift</t>
  </si>
  <si>
    <t>pension</t>
  </si>
  <si>
    <t>Gift</t>
  </si>
  <si>
    <t>oskadad</t>
  </si>
  <si>
    <t>skadad</t>
  </si>
  <si>
    <t>index</t>
  </si>
  <si>
    <t>adm.</t>
  </si>
  <si>
    <t>p.s.s.</t>
  </si>
  <si>
    <t xml:space="preserve">genom </t>
  </si>
  <si>
    <t>division</t>
  </si>
  <si>
    <t>garantipension</t>
  </si>
  <si>
    <t>IP oskadad</t>
  </si>
  <si>
    <t>IP skadad</t>
  </si>
  <si>
    <t>pension skadad</t>
  </si>
  <si>
    <t>hjälp beräkningar</t>
  </si>
  <si>
    <t>födelseår</t>
  </si>
  <si>
    <t>avrundat år till pension</t>
  </si>
  <si>
    <t>kompl</t>
  </si>
  <si>
    <t xml:space="preserve">kompl </t>
  </si>
  <si>
    <t>årligen</t>
  </si>
  <si>
    <t>(ÅÅÅÅ-MM-DD)</t>
  </si>
  <si>
    <t>PGI + PGB år</t>
  </si>
  <si>
    <t xml:space="preserve">Utg PBH år </t>
  </si>
  <si>
    <t xml:space="preserve">ink.grundad pension, skadad </t>
  </si>
  <si>
    <t xml:space="preserve">ink.grundad pension, oskadad </t>
  </si>
  <si>
    <t xml:space="preserve">Oskadad </t>
  </si>
  <si>
    <t>Skadad</t>
  </si>
  <si>
    <t>ing PBH</t>
  </si>
  <si>
    <t>p-rätt</t>
  </si>
  <si>
    <r>
      <t xml:space="preserve">        </t>
    </r>
    <r>
      <rPr>
        <b/>
        <u val="single"/>
        <sz val="8"/>
        <rFont val="Arial"/>
        <family val="0"/>
      </rPr>
      <t>Ålderspension som skadad</t>
    </r>
  </si>
  <si>
    <t>arvs-</t>
  </si>
  <si>
    <t>vinst</t>
  </si>
  <si>
    <t>kostn.</t>
  </si>
  <si>
    <t>inkomst</t>
  </si>
  <si>
    <t xml:space="preserve">        Utg PBH år</t>
  </si>
  <si>
    <t>tak</t>
  </si>
  <si>
    <t>ingående</t>
  </si>
  <si>
    <t>PBH</t>
  </si>
  <si>
    <t>uppräkn.</t>
  </si>
  <si>
    <t>pensionsförlust</t>
  </si>
  <si>
    <t>kompl.</t>
  </si>
  <si>
    <t>PBB</t>
  </si>
  <si>
    <t>Uppdatera gula fält</t>
  </si>
  <si>
    <t>1/ inkomstindex</t>
  </si>
  <si>
    <t>2/ inkomstbasbelopp</t>
  </si>
  <si>
    <t>3/ prisbasbelopp</t>
  </si>
  <si>
    <t>inkomst-</t>
  </si>
  <si>
    <t>för-</t>
  </si>
  <si>
    <t>ändring</t>
  </si>
  <si>
    <t>"taket"</t>
  </si>
  <si>
    <t>x 7,5</t>
  </si>
  <si>
    <t>pris-</t>
  </si>
  <si>
    <t>förändr.</t>
  </si>
  <si>
    <t>årets</t>
  </si>
  <si>
    <t>(%)</t>
  </si>
  <si>
    <t>bas-</t>
  </si>
  <si>
    <t>belopp</t>
  </si>
  <si>
    <t>GIFT</t>
  </si>
  <si>
    <t>OGIFT</t>
  </si>
  <si>
    <t>pension oskadad</t>
  </si>
  <si>
    <t>Handläggare</t>
  </si>
  <si>
    <t>Ogift eller därmed jämställd</t>
  </si>
  <si>
    <t>Första år med förlust</t>
  </si>
  <si>
    <t>(ÅÅÅÅ)</t>
  </si>
  <si>
    <t xml:space="preserve">Född </t>
  </si>
  <si>
    <t>Fastställelseår</t>
  </si>
  <si>
    <t>upplysning</t>
  </si>
  <si>
    <t>celler</t>
  </si>
  <si>
    <t>B49  ff</t>
  </si>
  <si>
    <t>G49  ff</t>
  </si>
  <si>
    <t>I  49  ff</t>
  </si>
  <si>
    <r>
      <t xml:space="preserve">        </t>
    </r>
    <r>
      <rPr>
        <b/>
        <u val="single"/>
        <sz val="8"/>
        <rFont val="Arial"/>
        <family val="0"/>
      </rPr>
      <t>Ålderspension som oskadad</t>
    </r>
  </si>
  <si>
    <t xml:space="preserve">             1 jan efter fastställeseår</t>
  </si>
  <si>
    <t xml:space="preserve">Skada nr </t>
  </si>
  <si>
    <t>slutmånad</t>
  </si>
  <si>
    <t xml:space="preserve">70 års dagen </t>
  </si>
  <si>
    <t>slutet av mån innan 70år</t>
  </si>
  <si>
    <t>år kvar till pension 70 år</t>
  </si>
  <si>
    <t>avrundat år till pens 65 år</t>
  </si>
  <si>
    <t>ink index</t>
  </si>
  <si>
    <t>ink.bb</t>
  </si>
  <si>
    <t>pbb</t>
  </si>
  <si>
    <t>inkomst index</t>
  </si>
  <si>
    <t>inkomst basbelopp</t>
  </si>
  <si>
    <t>prisbasbelopp</t>
  </si>
  <si>
    <t>inkomstbasbelopp</t>
  </si>
  <si>
    <t>inkomstindex</t>
  </si>
  <si>
    <t>år</t>
  </si>
  <si>
    <t>Förtidspension/sjukbidrag/sjukersättning</t>
  </si>
  <si>
    <t>skadan</t>
  </si>
  <si>
    <t>total</t>
  </si>
  <si>
    <t>medelpoäng</t>
  </si>
  <si>
    <t>samordningsprocent</t>
  </si>
  <si>
    <t>sjukersättn</t>
  </si>
  <si>
    <t>LAF*0,93</t>
  </si>
  <si>
    <t>avrundat</t>
  </si>
  <si>
    <t>PU</t>
  </si>
  <si>
    <t>antagande</t>
  </si>
  <si>
    <t>grad total</t>
  </si>
  <si>
    <t>mp+1…</t>
  </si>
  <si>
    <t>(PGI+PGB)</t>
  </si>
  <si>
    <t>LAF-livränta</t>
  </si>
  <si>
    <t xml:space="preserve">               PGB vid 100% samordning</t>
  </si>
  <si>
    <t>formler för antagandeinkomst</t>
  </si>
  <si>
    <t>avgår</t>
  </si>
  <si>
    <t>A</t>
  </si>
  <si>
    <t>B</t>
  </si>
  <si>
    <t>PGB</t>
  </si>
  <si>
    <t xml:space="preserve">               PGB vid partiell samordning</t>
  </si>
  <si>
    <t>antagandeink. * 0,93</t>
  </si>
  <si>
    <t>avgår sjukersättning</t>
  </si>
  <si>
    <t>ej samordn.</t>
  </si>
  <si>
    <t>samordn.</t>
  </si>
  <si>
    <t>ej samordn</t>
  </si>
  <si>
    <t>avgår LAF</t>
  </si>
  <si>
    <t>max</t>
  </si>
  <si>
    <t xml:space="preserve">     PU (PGI+PGB)</t>
  </si>
  <si>
    <t>beräkns sätt</t>
  </si>
  <si>
    <t>fastställelseår</t>
  </si>
  <si>
    <t>sjuker/0,64..</t>
  </si>
  <si>
    <t>grad</t>
  </si>
  <si>
    <t>sjuk-</t>
  </si>
  <si>
    <t>ersättn.</t>
  </si>
  <si>
    <t>ink.som</t>
  </si>
  <si>
    <t xml:space="preserve">Manuell beräkning av PU för fastställelseåret </t>
  </si>
  <si>
    <t>samt året innan</t>
  </si>
  <si>
    <t xml:space="preserve">Manuell beräkning av PU vid samordnad LAF-livränta för </t>
  </si>
  <si>
    <t>fastställelseåret samt året innan</t>
  </si>
  <si>
    <t xml:space="preserve">         PGB, partiell samordn.</t>
  </si>
  <si>
    <t xml:space="preserve">        PGB,  partiell samordn.</t>
  </si>
  <si>
    <t xml:space="preserve">               avrundat</t>
  </si>
  <si>
    <t>ink. * 0,93</t>
  </si>
  <si>
    <t>antagande-</t>
  </si>
  <si>
    <t>LAF-</t>
  </si>
  <si>
    <t>livränta</t>
  </si>
  <si>
    <t>Skada</t>
  </si>
  <si>
    <t>pensions</t>
  </si>
  <si>
    <t>grundad ink.</t>
  </si>
  <si>
    <t>(avrundas)</t>
  </si>
  <si>
    <t>(avrundat)</t>
  </si>
  <si>
    <t xml:space="preserve">Uppräkningstal </t>
  </si>
  <si>
    <t>(mp+1)*pbb*sjukersättn.total*poängår/30</t>
  </si>
  <si>
    <t>Ev. anteckningar</t>
  </si>
  <si>
    <t xml:space="preserve">       ink. skadad * 0,93</t>
  </si>
  <si>
    <t xml:space="preserve">       pens. grundad</t>
  </si>
  <si>
    <t>Prisbasbelopp</t>
  </si>
  <si>
    <t>annan</t>
  </si>
  <si>
    <t>orsak</t>
  </si>
  <si>
    <t xml:space="preserve">UPPDATERINGAR </t>
  </si>
  <si>
    <t>senaste uppdateringar (autom)</t>
  </si>
  <si>
    <t>(årsbel.)</t>
  </si>
  <si>
    <t>pens.gr.</t>
  </si>
  <si>
    <t>Formler</t>
  </si>
  <si>
    <t>mp+1 .....</t>
  </si>
  <si>
    <t>sjukers./ 064 ...</t>
  </si>
  <si>
    <t>annan orsak</t>
  </si>
  <si>
    <t xml:space="preserve">fiktivt </t>
  </si>
  <si>
    <t>ing. PBH första år med förlust</t>
  </si>
  <si>
    <t>sjukers</t>
  </si>
  <si>
    <t xml:space="preserve">beräkn sätt </t>
  </si>
  <si>
    <t>Ärende</t>
  </si>
  <si>
    <t>A men efter</t>
  </si>
  <si>
    <t>år 2003 =C</t>
  </si>
  <si>
    <t>skada</t>
  </si>
  <si>
    <t>annat</t>
  </si>
  <si>
    <t>sjukersättning</t>
  </si>
  <si>
    <t xml:space="preserve">skift 2003 </t>
  </si>
  <si>
    <t>ärfel</t>
  </si>
  <si>
    <t>uppräkning</t>
  </si>
  <si>
    <t>eller senare</t>
  </si>
  <si>
    <t>första år med förlust</t>
  </si>
  <si>
    <t>A = Ap+1......</t>
  </si>
  <si>
    <t>B = sjukers/0,64.....</t>
  </si>
  <si>
    <t>C = Mp+1.....</t>
  </si>
  <si>
    <t>antagandepoäng</t>
  </si>
  <si>
    <t>sjukers.</t>
  </si>
  <si>
    <t>beräkn sätt</t>
  </si>
  <si>
    <t xml:space="preserve">grad </t>
  </si>
  <si>
    <t xml:space="preserve">            medelpoäng</t>
  </si>
  <si>
    <t>underl.</t>
  </si>
  <si>
    <t xml:space="preserve">           antagande poäng</t>
  </si>
  <si>
    <t xml:space="preserve">p-rättsgr </t>
  </si>
  <si>
    <t xml:space="preserve"> ink. from</t>
  </si>
  <si>
    <t>1999 93%</t>
  </si>
  <si>
    <t>B-PGB</t>
  </si>
  <si>
    <t>PL-PGB</t>
  </si>
  <si>
    <t>S-PGB</t>
  </si>
  <si>
    <t>&amp; ev.</t>
  </si>
  <si>
    <t>fiktivt underl</t>
  </si>
  <si>
    <t>&amp; ink oskadad</t>
  </si>
  <si>
    <t xml:space="preserve"> Ink.underl+fiktivt / taket år: </t>
  </si>
  <si>
    <t>villkordsstyrd formatering vid  sjukersättningsbeloppet</t>
  </si>
  <si>
    <t>ATT GÖRA ELLER ATT BEAKTA</t>
  </si>
  <si>
    <t>korrigering</t>
  </si>
  <si>
    <t>av svar</t>
  </si>
  <si>
    <t>Ev. ta bort förslag till PU eftersom det föreslås trots att handl inte fyller i ink som skadad flik 2</t>
  </si>
  <si>
    <t>Ev. villkordsstyrd formatering vid  medelpoäng/antagandepoäng</t>
  </si>
  <si>
    <t>Fiktiv inkomst</t>
  </si>
  <si>
    <t xml:space="preserve">när den </t>
  </si>
  <si>
    <t>skadad har</t>
  </si>
  <si>
    <t>sjukers. av</t>
  </si>
  <si>
    <t>än skadan.</t>
  </si>
  <si>
    <t>Beloppet förs</t>
  </si>
  <si>
    <t>till flik pensions-</t>
  </si>
  <si>
    <t>förlust</t>
  </si>
  <si>
    <t>C</t>
  </si>
  <si>
    <t>4/ förhöjt prisbasbelopp</t>
  </si>
  <si>
    <t>J 49  ff</t>
  </si>
  <si>
    <t xml:space="preserve">förhöjt </t>
  </si>
  <si>
    <t>prisbas</t>
  </si>
  <si>
    <t>förhöjt prisbasbelopp</t>
  </si>
  <si>
    <t>uppräkning av sjukersättning</t>
  </si>
  <si>
    <t xml:space="preserve">             prisbasbelopp</t>
  </si>
  <si>
    <t>förändring</t>
  </si>
  <si>
    <t>Denna version är ej korrigerad till sänkning av pensionsrätten till 80% för de med förtidspension/sjukersättning</t>
  </si>
  <si>
    <t>för villkorsstyrd formatering på flik pensionsförlust</t>
  </si>
  <si>
    <t>Cell S7, antagandepoäng</t>
  </si>
  <si>
    <t>rad 1</t>
  </si>
  <si>
    <t>rad 2</t>
  </si>
  <si>
    <t>rad 3</t>
  </si>
  <si>
    <t>1:a år med orsak annan</t>
  </si>
  <si>
    <t>antagandepoäng har villkorsstyrd formatering</t>
  </si>
  <si>
    <t>senaste uppdatering</t>
  </si>
  <si>
    <t>PGI</t>
  </si>
  <si>
    <t>Reducering</t>
  </si>
  <si>
    <t xml:space="preserve">m.a.a. ev. färre </t>
  </si>
  <si>
    <t xml:space="preserve">pensionsår </t>
  </si>
  <si>
    <t>än 30</t>
  </si>
  <si>
    <t xml:space="preserve">detta slår </t>
  </si>
  <si>
    <t>igenom vid</t>
  </si>
  <si>
    <t>beräkningssätt</t>
  </si>
  <si>
    <t>A och C</t>
  </si>
  <si>
    <t>men ej B (sjuk-</t>
  </si>
  <si>
    <t xml:space="preserve">ersättning) </t>
  </si>
  <si>
    <t xml:space="preserve">( (mp+1)*pbb*grad sjukers.total*0,93*poängår / 30) </t>
  </si>
  <si>
    <t>( Mp+1 ) * pbb * grad annan orsak * pensionsår / 30</t>
  </si>
  <si>
    <t xml:space="preserve">Formler för det fiktiva beloppet </t>
  </si>
  <si>
    <t>sista pensionsbeslutet</t>
  </si>
  <si>
    <t>sista året med sjukersättning</t>
  </si>
  <si>
    <t>poängår</t>
  </si>
  <si>
    <t>beviljats 2003 eller senare.</t>
  </si>
  <si>
    <t xml:space="preserve">Prova med att lägga in viss procents förtidspension före skadan </t>
  </si>
  <si>
    <t xml:space="preserve">och sen lägger in utökad sjukersättning år 2003 eller senare. </t>
  </si>
  <si>
    <t xml:space="preserve">Enligt programmeringen behöver handläggaren då inte mata in </t>
  </si>
  <si>
    <t>poängår men vi missar i så fall reduceringen av de fiktiva talen före 2003.</t>
  </si>
  <si>
    <t>annan orsak före 2003</t>
  </si>
  <si>
    <t xml:space="preserve">Jag tror att vi alltid måste lägga in poängår när vi har en sjukersättning av </t>
  </si>
  <si>
    <t>Jag tror att vi alltid måste ange poängår när det finns förtidspension av annan orsak även om sjukersättning</t>
  </si>
  <si>
    <t xml:space="preserve">första år med förtidspension/sjukersättn </t>
  </si>
  <si>
    <t>av annan orsak än skadan</t>
  </si>
  <si>
    <t>(styr den villkorsstyrda formateringen</t>
  </si>
  <si>
    <t>på flik FAKTA "poängår")</t>
  </si>
  <si>
    <t>(Ap+1) * förh pbb * grad annan orsak / 0,93 * pensionsår / 30</t>
  </si>
  <si>
    <t>p-rätt som ej beaktats ovan</t>
  </si>
  <si>
    <t>TN</t>
  </si>
  <si>
    <t>födelse=skott-</t>
  </si>
  <si>
    <t>67 år</t>
  </si>
  <si>
    <t>70 år</t>
  </si>
  <si>
    <t>66 år</t>
  </si>
  <si>
    <t>skottår</t>
  </si>
  <si>
    <t>födelse</t>
  </si>
  <si>
    <t>Flik Ink efter  65 år</t>
  </si>
  <si>
    <t>årsdagen?</t>
  </si>
  <si>
    <t xml:space="preserve">p-rätt fr.o.m. </t>
  </si>
  <si>
    <t>p-rätt t.o.m.</t>
  </si>
  <si>
    <t>sista år</t>
  </si>
  <si>
    <t xml:space="preserve">sista år </t>
  </si>
  <si>
    <t>p-rätt tom</t>
  </si>
  <si>
    <t>nej</t>
  </si>
  <si>
    <t>födelseår är skottår?</t>
  </si>
  <si>
    <t>månad</t>
  </si>
  <si>
    <t>ja</t>
  </si>
  <si>
    <t>dag</t>
  </si>
  <si>
    <t>del av år</t>
  </si>
  <si>
    <t>årsbelopp</t>
  </si>
  <si>
    <t>är det skottdag</t>
  </si>
  <si>
    <t>fyller 65 år</t>
  </si>
  <si>
    <t>helår</t>
  </si>
  <si>
    <t>skottår?</t>
  </si>
  <si>
    <t>hel år</t>
  </si>
  <si>
    <t>vald pens.år</t>
  </si>
  <si>
    <t>p-rätt from</t>
  </si>
  <si>
    <t>diverse omräkningstal</t>
  </si>
  <si>
    <t>=18,5%*0,93 /</t>
  </si>
  <si>
    <t>(65 år)</t>
  </si>
  <si>
    <t>(67 år)</t>
  </si>
  <si>
    <t>(70 år)</t>
  </si>
  <si>
    <t xml:space="preserve">pensionsförlust till 65 år </t>
  </si>
  <si>
    <t>sista året</t>
  </si>
  <si>
    <t>antal mån</t>
  </si>
  <si>
    <t>antal mån första året</t>
  </si>
  <si>
    <t>antal år</t>
  </si>
  <si>
    <t>65 år</t>
  </si>
  <si>
    <t xml:space="preserve">antal år </t>
  </si>
  <si>
    <t>omräknat</t>
  </si>
  <si>
    <t>summa</t>
  </si>
  <si>
    <t>(förlust av allmän pension)</t>
  </si>
  <si>
    <t xml:space="preserve">           Skada nr.</t>
  </si>
  <si>
    <t>Pension som oskadad</t>
  </si>
  <si>
    <t>Pension som skadad</t>
  </si>
  <si>
    <t>Förlust av allmän pension</t>
  </si>
  <si>
    <t>textalternativ:</t>
  </si>
  <si>
    <t>eller</t>
  </si>
  <si>
    <t>utskiftsdatum</t>
  </si>
  <si>
    <t>pensionsålder</t>
  </si>
  <si>
    <t>skada nr.</t>
  </si>
  <si>
    <t>född</t>
  </si>
  <si>
    <t>Oskadad</t>
  </si>
  <si>
    <t>Inkomstpension</t>
  </si>
  <si>
    <t xml:space="preserve">utg PBH </t>
  </si>
  <si>
    <t xml:space="preserve">deln.tal </t>
  </si>
  <si>
    <t>totalt</t>
  </si>
  <si>
    <t>ink.underl.</t>
  </si>
  <si>
    <t>%</t>
  </si>
  <si>
    <t>utg PBH</t>
  </si>
  <si>
    <t>deln tal</t>
  </si>
  <si>
    <t>OSKADAD</t>
  </si>
  <si>
    <t>SKADAD</t>
  </si>
  <si>
    <t>Utskriftsdatum</t>
  </si>
  <si>
    <t>Flik:</t>
  </si>
  <si>
    <t>Född</t>
  </si>
  <si>
    <t>Pensionsålder</t>
  </si>
  <si>
    <t>fr.o.m.</t>
  </si>
  <si>
    <t>t.o.m.</t>
  </si>
  <si>
    <t>Inkomst-</t>
  </si>
  <si>
    <t>Del av år</t>
  </si>
  <si>
    <t>Information</t>
  </si>
  <si>
    <t>(66 år)</t>
  </si>
  <si>
    <t xml:space="preserve">                gift / jämställd</t>
  </si>
  <si>
    <t>ev. X-markering</t>
  </si>
  <si>
    <t>flik jämkning</t>
  </si>
  <si>
    <t xml:space="preserve">reducering av pensionsrätten </t>
  </si>
  <si>
    <t xml:space="preserve">För dem som har skadebetingad sjukersättning under </t>
  </si>
  <si>
    <t>år 2007 lämnas ett schablonbelopp på 500 kr som</t>
  </si>
  <si>
    <t xml:space="preserve">kompensation för sänkningen till 80% av </t>
  </si>
  <si>
    <t>antagandeinkomsten. Övriga år 93%</t>
  </si>
  <si>
    <t>hel komp</t>
  </si>
  <si>
    <t>avdragsbelopp</t>
  </si>
  <si>
    <t>skadebetingad</t>
  </si>
  <si>
    <t xml:space="preserve">år 2007 </t>
  </si>
  <si>
    <t xml:space="preserve">för år </t>
  </si>
  <si>
    <t>kompen.</t>
  </si>
  <si>
    <t>PGI+PGB</t>
  </si>
  <si>
    <t>Utskrift</t>
  </si>
  <si>
    <t xml:space="preserve">          garantipension</t>
  </si>
  <si>
    <t>ink. underlag</t>
  </si>
  <si>
    <t>ink.underlag</t>
  </si>
  <si>
    <t>månader innan pension</t>
  </si>
  <si>
    <t>andel av året</t>
  </si>
  <si>
    <t>eventuell</t>
  </si>
  <si>
    <r>
      <t xml:space="preserve">Jämkning till: </t>
    </r>
    <r>
      <rPr>
        <sz val="8"/>
        <rFont val="Arial"/>
        <family val="2"/>
      </rPr>
      <t>(ange kvotdel)</t>
    </r>
  </si>
  <si>
    <t>Förlust av allmän pension för den yngre generationen (födda fr.o.m. 1954)</t>
  </si>
  <si>
    <t>Sjukersättning</t>
  </si>
  <si>
    <t>garantiersättn</t>
  </si>
  <si>
    <t xml:space="preserve">           sjukersättn.exkl.</t>
  </si>
  <si>
    <t>total %</t>
  </si>
  <si>
    <t>år 2007</t>
  </si>
  <si>
    <t>högsta</t>
  </si>
  <si>
    <t>gamla</t>
  </si>
  <si>
    <t>nya</t>
  </si>
  <si>
    <t>fastställ.år</t>
  </si>
  <si>
    <t>kompens.</t>
  </si>
  <si>
    <t xml:space="preserve">År </t>
  </si>
  <si>
    <t>förändr</t>
  </si>
  <si>
    <t>prisbas-</t>
  </si>
  <si>
    <t>förh.pris-</t>
  </si>
  <si>
    <t>korr av</t>
  </si>
  <si>
    <t>uppräkn</t>
  </si>
  <si>
    <t>första år m förlust</t>
  </si>
  <si>
    <t>kol annan</t>
  </si>
  <si>
    <t>kol total</t>
  </si>
  <si>
    <t>ÅR</t>
  </si>
  <si>
    <t>basbelopp</t>
  </si>
  <si>
    <t>ersättn</t>
  </si>
  <si>
    <t>antag.poä</t>
  </si>
  <si>
    <t>fast.st.år</t>
  </si>
  <si>
    <t>medel poä</t>
  </si>
  <si>
    <r>
      <t xml:space="preserve">A </t>
    </r>
    <r>
      <rPr>
        <sz val="8"/>
        <rFont val="Arial"/>
        <family val="0"/>
      </rPr>
      <t xml:space="preserve"> = (ap+1) * förh.pbb * grad annan orsak / 0,93 * poängår / 30</t>
    </r>
  </si>
  <si>
    <t xml:space="preserve">         formler</t>
  </si>
  <si>
    <r>
      <t xml:space="preserve">B  </t>
    </r>
    <r>
      <rPr>
        <sz val="8"/>
        <rFont val="Arial"/>
        <family val="2"/>
      </rPr>
      <t>= sjukersättn / 0,64 * grad annan orsak</t>
    </r>
  </si>
  <si>
    <t>olika hjälpberäkningar</t>
  </si>
  <si>
    <t xml:space="preserve">      förändring</t>
  </si>
  <si>
    <r>
      <t xml:space="preserve">C  </t>
    </r>
    <r>
      <rPr>
        <sz val="8"/>
        <rFont val="Arial"/>
        <family val="2"/>
      </rPr>
      <t>= (mp + 1) * pbb * grad annan orsak * poängår / 30</t>
    </r>
  </si>
  <si>
    <t>fiktivt</t>
  </si>
  <si>
    <t>alla år</t>
  </si>
  <si>
    <t>VAL</t>
  </si>
  <si>
    <t>A/B/C</t>
  </si>
  <si>
    <t>förh pbb</t>
  </si>
  <si>
    <t>A / B</t>
  </si>
  <si>
    <t>A / B / C</t>
  </si>
  <si>
    <t>skottårsdag</t>
  </si>
  <si>
    <t>Flik ink efter 65 år uttag vid 65 år</t>
  </si>
  <si>
    <t>inmatad pensionsålder</t>
  </si>
  <si>
    <t xml:space="preserve">      pensionsrätt</t>
  </si>
  <si>
    <t>årlig</t>
  </si>
  <si>
    <t>ink.förlust</t>
  </si>
  <si>
    <t>taket</t>
  </si>
  <si>
    <t>procent</t>
  </si>
  <si>
    <t>(68 år)</t>
  </si>
  <si>
    <t>(69 år)</t>
  </si>
  <si>
    <t xml:space="preserve">   summa</t>
  </si>
  <si>
    <t xml:space="preserve">       pensionsrätt</t>
  </si>
  <si>
    <t>inkomst tak</t>
  </si>
  <si>
    <t>senaste</t>
  </si>
  <si>
    <t>tak-belopp</t>
  </si>
  <si>
    <t>uppdatering av basbelopp m.m.</t>
  </si>
  <si>
    <t>ink basb</t>
  </si>
  <si>
    <t>senast uppd</t>
  </si>
  <si>
    <t xml:space="preserve">    Garantinivå</t>
  </si>
  <si>
    <t xml:space="preserve">max tak </t>
  </si>
  <si>
    <t>max tak</t>
  </si>
  <si>
    <t>innan</t>
  </si>
  <si>
    <t xml:space="preserve">       Arbetsinkomst</t>
  </si>
  <si>
    <t>Omräknings-</t>
  </si>
  <si>
    <t>Summa</t>
  </si>
  <si>
    <t xml:space="preserve">Årlig pensionsförlust fr.o.m. </t>
  </si>
  <si>
    <t xml:space="preserve">         Årlig pensionsförlust fr.o.m. </t>
  </si>
  <si>
    <t xml:space="preserve">Årlig </t>
  </si>
  <si>
    <t xml:space="preserve">       Pensionsförlust till</t>
  </si>
  <si>
    <t xml:space="preserve">    därefter årligen</t>
  </si>
  <si>
    <t xml:space="preserve">       Fyll i med X</t>
  </si>
  <si>
    <t xml:space="preserve"> vid gift / jämställd</t>
  </si>
  <si>
    <t xml:space="preserve">      Utskriftsdatum</t>
  </si>
  <si>
    <r>
      <t xml:space="preserve">         </t>
    </r>
    <r>
      <rPr>
        <b/>
        <u val="single"/>
        <sz val="8"/>
        <rFont val="Arial"/>
        <family val="2"/>
      </rPr>
      <t>Gift eller därmed jämställd</t>
    </r>
  </si>
  <si>
    <t>Pensionsförlust, jämkning, 80% / 90%.</t>
  </si>
  <si>
    <t xml:space="preserve">N4 tom N14 </t>
  </si>
  <si>
    <t xml:space="preserve">Nya delningstal </t>
  </si>
  <si>
    <t>(71 år)</t>
  </si>
  <si>
    <t>(72 år)</t>
  </si>
  <si>
    <t>(73 år)</t>
  </si>
  <si>
    <t>(74 år)</t>
  </si>
  <si>
    <t>(75 år)</t>
  </si>
  <si>
    <t>ålder</t>
  </si>
  <si>
    <t>av flikarna ink efter 65 år har fyllts i</t>
  </si>
  <si>
    <t xml:space="preserve">Formlerna har korrigerats så att icke </t>
  </si>
  <si>
    <t>Denna flik ska inte användas om någon</t>
  </si>
  <si>
    <t xml:space="preserve">önskvärd text ska dyka upp om ink efter 65år fyllts i </t>
  </si>
  <si>
    <t>Text m.m. kunde uppkomma tidigare</t>
  </si>
  <si>
    <t>Ändring nov 2010</t>
  </si>
  <si>
    <t xml:space="preserve">               ack. förlust:</t>
  </si>
  <si>
    <t>inte om-</t>
  </si>
  <si>
    <t>räknat</t>
  </si>
  <si>
    <t>är om-</t>
  </si>
  <si>
    <t>Försäkringstid</t>
  </si>
  <si>
    <t>Försäkr.tid</t>
  </si>
  <si>
    <t xml:space="preserve"> Poängår</t>
  </si>
  <si>
    <t>upplysning:</t>
  </si>
  <si>
    <t>TN version/datum</t>
  </si>
  <si>
    <t>M101</t>
  </si>
  <si>
    <t>( sjukers. / 0,64 * 0,93 )  (Fr.o.m. år 2016: 0,647)</t>
  </si>
  <si>
    <t>sjukerättning / 0,64  (Fr.o.m. år 2016: 0,647)</t>
  </si>
  <si>
    <t>övre gräns</t>
  </si>
  <si>
    <t>nedre gräns</t>
  </si>
  <si>
    <t>inkomstgrundad allm. pension</t>
  </si>
  <si>
    <t>tabellvärde</t>
  </si>
  <si>
    <t>försäkringstid / antal år</t>
  </si>
  <si>
    <t>(inkl. ev. tillägg)</t>
  </si>
  <si>
    <t>pension (inkl.ev.tillägg)</t>
  </si>
  <si>
    <t>antal år för fullt tillägg</t>
  </si>
  <si>
    <r>
      <t xml:space="preserve">ink.gr.allm.pension </t>
    </r>
    <r>
      <rPr>
        <b/>
        <sz val="10"/>
        <rFont val="Arial"/>
        <family val="2"/>
      </rPr>
      <t>oskadad</t>
    </r>
    <r>
      <rPr>
        <sz val="10"/>
        <rFont val="Arial"/>
        <family val="0"/>
      </rPr>
      <t xml:space="preserve"> (per mån)</t>
    </r>
  </si>
  <si>
    <r>
      <t xml:space="preserve">ink.gr.allm pension </t>
    </r>
    <r>
      <rPr>
        <b/>
        <sz val="10"/>
        <rFont val="Arial"/>
        <family val="2"/>
      </rPr>
      <t>skadad</t>
    </r>
    <r>
      <rPr>
        <sz val="10"/>
        <rFont val="Arial"/>
        <family val="0"/>
      </rPr>
      <t xml:space="preserve"> (per mån)</t>
    </r>
  </si>
  <si>
    <r>
      <t xml:space="preserve">tillägg </t>
    </r>
    <r>
      <rPr>
        <b/>
        <sz val="10"/>
        <rFont val="Arial"/>
        <family val="2"/>
      </rPr>
      <t>oskadad</t>
    </r>
  </si>
  <si>
    <r>
      <t xml:space="preserve">tillägg </t>
    </r>
    <r>
      <rPr>
        <b/>
        <sz val="10"/>
        <rFont val="Arial"/>
        <family val="2"/>
      </rPr>
      <t>skadad</t>
    </r>
  </si>
  <si>
    <t>ink.pens.</t>
  </si>
  <si>
    <t>tillägg</t>
  </si>
  <si>
    <t>Inkomst efter 65, uppskjutet uttag</t>
  </si>
  <si>
    <t>ink.gr.allm.</t>
  </si>
  <si>
    <t>pension+</t>
  </si>
  <si>
    <t>garanti-</t>
  </si>
  <si>
    <t>skillnad</t>
  </si>
  <si>
    <t xml:space="preserve">                Årlig pensionsförlust fr.o.m.:</t>
  </si>
  <si>
    <t>kolumn D</t>
  </si>
  <si>
    <t>p.gr.ink oskadad</t>
  </si>
  <si>
    <t>V</t>
  </si>
  <si>
    <t>Födelse:</t>
  </si>
  <si>
    <t>Pens.f.o.m.:</t>
  </si>
  <si>
    <t>slutet av mån innan pens.</t>
  </si>
  <si>
    <t>fastst.år- år kvar till pension</t>
  </si>
  <si>
    <t xml:space="preserve">år kvar till pension </t>
  </si>
  <si>
    <t xml:space="preserve">    (uppskjutet uttag)</t>
  </si>
  <si>
    <t>Inkomster efter 65/67 år</t>
  </si>
  <si>
    <t>delningstal:</t>
  </si>
  <si>
    <t xml:space="preserve">   delningstal </t>
  </si>
  <si>
    <t xml:space="preserve">   </t>
  </si>
  <si>
    <t>som gift / jämställd</t>
  </si>
  <si>
    <t>som ogift / jämställd</t>
  </si>
  <si>
    <t>faktorberäkning, delningstal:</t>
  </si>
  <si>
    <t>pensionsdag</t>
  </si>
  <si>
    <t>Flik ink efter pens. uppskjutet uttag</t>
  </si>
  <si>
    <t>flik: inkomst efter pens.,uttag vid 65 / 67 år</t>
  </si>
  <si>
    <t>Ålder</t>
  </si>
  <si>
    <t>Födelseår</t>
  </si>
  <si>
    <t>skulle ha arbetat till</t>
  </si>
  <si>
    <t>omräknings</t>
  </si>
  <si>
    <t xml:space="preserve">              som oskadad</t>
  </si>
  <si>
    <t xml:space="preserve">                 ink.pension</t>
  </si>
  <si>
    <t xml:space="preserve">               som skadad</t>
  </si>
  <si>
    <t>Skada nr.</t>
  </si>
  <si>
    <t>Tilläggsflik</t>
  </si>
  <si>
    <t>åldersår</t>
  </si>
  <si>
    <t>inkomst efter 65/67 år, uppskjutet uttag</t>
  </si>
  <si>
    <t xml:space="preserve">Pensionsförlust vid inkomstförlust efter 65 / 67 år. </t>
  </si>
  <si>
    <t>( Uttag av pension vid 65 / 67 år)</t>
  </si>
  <si>
    <t>årsdagen</t>
  </si>
  <si>
    <t>Sista året</t>
  </si>
  <si>
    <t>Näst sista</t>
  </si>
  <si>
    <t xml:space="preserve">Ålder 1958-1960 öka med 2 år </t>
  </si>
  <si>
    <t>Ytterligare</t>
  </si>
  <si>
    <t>1 år</t>
  </si>
  <si>
    <t>Flik ink eft 65, 67 uppskjutet uttag, tilläggsflik</t>
  </si>
  <si>
    <t>pensionsrätt</t>
  </si>
  <si>
    <t>Inkomst efter pensionsuttag</t>
  </si>
  <si>
    <t>Ev. kommentarer</t>
  </si>
  <si>
    <t xml:space="preserve">      Pensionsålder:</t>
  </si>
  <si>
    <t>OM($AI$42&gt;AE51;AI43+1;"")</t>
  </si>
  <si>
    <t>Garantipension f.o.m. augusti 2022</t>
  </si>
  <si>
    <t xml:space="preserve">      Pensionsförlust för ogift</t>
  </si>
  <si>
    <t xml:space="preserve">     Pensionsförlust för gift</t>
  </si>
  <si>
    <t xml:space="preserve">       PBB - 40dels beräknad</t>
  </si>
  <si>
    <r>
      <t xml:space="preserve">           </t>
    </r>
    <r>
      <rPr>
        <b/>
        <u val="single"/>
        <sz val="8"/>
        <rFont val="Arial"/>
        <family val="2"/>
      </rPr>
      <t xml:space="preserve"> GARANTIPENSION</t>
    </r>
  </si>
  <si>
    <t>försäkringstid</t>
  </si>
  <si>
    <t xml:space="preserve">                PBB 40-dels beräknad</t>
  </si>
  <si>
    <t>inkl.ink.pens. tillägg</t>
  </si>
  <si>
    <t xml:space="preserve"> inkl.ink.pens.tillägg</t>
  </si>
  <si>
    <t>årligt</t>
  </si>
  <si>
    <t>Inkomstpensionstillägg   ( IPT )</t>
  </si>
  <si>
    <t>Inkomstpensionstillägg ( IPT )</t>
  </si>
  <si>
    <t>gräns</t>
  </si>
  <si>
    <t>övre</t>
  </si>
  <si>
    <t>nedre</t>
  </si>
  <si>
    <t>Tabell    (uppdateras årligen)</t>
  </si>
  <si>
    <t>Tabellen uppdateras på flik uppdat-hjälpberäkn</t>
  </si>
  <si>
    <t>2,43*PBB</t>
  </si>
  <si>
    <t>1,26*PBB</t>
  </si>
  <si>
    <t>ca 3,6975*PBB</t>
  </si>
  <si>
    <t>IP</t>
  </si>
  <si>
    <t>1,14*PBB</t>
  </si>
  <si>
    <t>ca 3,3483*PBB</t>
  </si>
  <si>
    <t>2,2*PBB</t>
  </si>
  <si>
    <t>( Vid IP 1,26*PBB börjar garantipensionen successivt minska mot 0 kr vid ca. 3,6975*PBB )</t>
  </si>
  <si>
    <t>( Vid IP 1,14*PBB börjar garantipensionen successivt minska mot 0 kr vid ca. 3,3483*PBB )</t>
  </si>
  <si>
    <t>( gäller f.o.m. augusti 2022 och vid 40 års försäkringstid )</t>
  </si>
  <si>
    <t>IPT</t>
  </si>
  <si>
    <t>delsumma</t>
  </si>
  <si>
    <t>Årlig förlust för ogift</t>
  </si>
  <si>
    <t>Årlig förlust för gift</t>
  </si>
  <si>
    <t>ogift</t>
  </si>
  <si>
    <t>gift</t>
  </si>
  <si>
    <t>arbetsink.</t>
  </si>
  <si>
    <t>per år</t>
  </si>
  <si>
    <t>del</t>
  </si>
  <si>
    <t>av år</t>
  </si>
  <si>
    <t xml:space="preserve">                          garantipension</t>
  </si>
  <si>
    <t>Ersätts som</t>
  </si>
  <si>
    <t>engångsbelopp</t>
  </si>
  <si>
    <t xml:space="preserve">       Utskriftsdatum</t>
  </si>
  <si>
    <t>Flik inkomst efter pensionsuttag</t>
  </si>
  <si>
    <t xml:space="preserve">  Arbete till åldern:</t>
  </si>
  <si>
    <t>garantip.</t>
  </si>
  <si>
    <r>
      <t>inkomstpension</t>
    </r>
    <r>
      <rPr>
        <sz val="8"/>
        <rFont val="Arial"/>
        <family val="2"/>
      </rPr>
      <t xml:space="preserve"> vid</t>
    </r>
  </si>
  <si>
    <t>sjukers. / 0,64 * grad annan orsak (fr.o.m. 2016 =0,647)</t>
  </si>
  <si>
    <t>första år</t>
  </si>
  <si>
    <t xml:space="preserve">Slutet </t>
  </si>
  <si>
    <t>månaden</t>
  </si>
  <si>
    <t>2024 K</t>
  </si>
</sst>
</file>

<file path=xl/styles.xml><?xml version="1.0" encoding="utf-8"?>
<styleSheet xmlns="http://schemas.openxmlformats.org/spreadsheetml/2006/main">
  <numFmts count="5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000%"/>
    <numFmt numFmtId="167" formatCode="yyyy/mm/dd;@"/>
    <numFmt numFmtId="168" formatCode="yyyy;@"/>
    <numFmt numFmtId="169" formatCode="0.000"/>
    <numFmt numFmtId="170" formatCode="0.00000"/>
    <numFmt numFmtId="171" formatCode="0.00000%"/>
    <numFmt numFmtId="172" formatCode="&quot;PBB &quot;#"/>
    <numFmt numFmtId="173" formatCode="yy/mm/dd;@"/>
    <numFmt numFmtId="174" formatCode="0.0"/>
    <numFmt numFmtId="175" formatCode="[$-41D]mmmm;@"/>
    <numFmt numFmtId="176" formatCode="##&quot; år&quot;"/>
    <numFmt numFmtId="177" formatCode="&quot; = 18,5% / &quot;##.#"/>
    <numFmt numFmtId="178" formatCode="0.000000"/>
    <numFmt numFmtId="179" formatCode="&quot;år &quot;####"/>
    <numFmt numFmtId="180" formatCode="#&quot;/12&quot;"/>
    <numFmt numFmtId="181" formatCode="#&quot; / 12&quot;"/>
    <numFmt numFmtId="182" formatCode="#&quot; /12&quot;"/>
    <numFmt numFmtId="183" formatCode="&quot;=18,5%* 0,93 / &quot;##.#"/>
    <numFmt numFmtId="184" formatCode="&quot;=18,5% / &quot;##.#"/>
    <numFmt numFmtId="185" formatCode="&quot;t.o.m.&quot;####"/>
    <numFmt numFmtId="186" formatCode="&quot;år från 65 till &quot;##"/>
    <numFmt numFmtId="187" formatCode="0.0000"/>
    <numFmt numFmtId="188" formatCode="#.##%&quot; =&quot;"/>
    <numFmt numFmtId="189" formatCode="&quot;18,5% * 0,93 /&quot;##.#"/>
    <numFmt numFmtId="190" formatCode="&quot;18,5%/&quot;##.#"/>
    <numFmt numFmtId="191" formatCode="&quot;= 18,5% * 0,93 / &quot;\ ##.#"/>
    <numFmt numFmtId="192" formatCode="&quot;= &quot;###,###"/>
    <numFmt numFmtId="193" formatCode="##&quot; år &quot;"/>
    <numFmt numFmtId="194" formatCode="##&quot; årsdagen&quot;"/>
    <numFmt numFmtId="195" formatCode="0.0000000"/>
    <numFmt numFmtId="196" formatCode="&quot;fast.st.år till&quot;\ ##&quot; år&quot;"/>
    <numFmt numFmtId="197" formatCode="&quot;t.o.m &quot;##&quot; år&quot;"/>
    <numFmt numFmtId="198" formatCode="&quot;t.o.m&quot;\ ##&quot; år&quot;"/>
    <numFmt numFmtId="199" formatCode="&quot;from pens. &quot;####"/>
    <numFmt numFmtId="200" formatCode="&quot;pensionsrätt f.o.m.&quot;##&quot; år &quot;"/>
    <numFmt numFmtId="201" formatCode="&quot;f.o.m.&quot;##&quot; år&quot;"/>
    <numFmt numFmtId="202" formatCode="##,###&quot; kr&quot;"/>
    <numFmt numFmtId="203" formatCode="#&quot; år&quot;"/>
    <numFmt numFmtId="204" formatCode="#,##0.0000"/>
    <numFmt numFmtId="205" formatCode="[$-41D]&quot;den &quot;d\ mmmm\ yyyy"/>
    <numFmt numFmtId="206" formatCode="&quot;= &quot;######"/>
    <numFmt numFmtId="207" formatCode="#&quot;+ &quot;##,###"/>
  </numFmts>
  <fonts count="76">
    <font>
      <sz val="10"/>
      <name val="Arial"/>
      <family val="0"/>
    </font>
    <font>
      <sz val="8"/>
      <name val="Arial"/>
      <family val="0"/>
    </font>
    <font>
      <b/>
      <sz val="10"/>
      <name val="Arial"/>
      <family val="2"/>
    </font>
    <font>
      <b/>
      <sz val="8"/>
      <color indexed="10"/>
      <name val="Arial"/>
      <family val="0"/>
    </font>
    <font>
      <b/>
      <sz val="8"/>
      <name val="Arial"/>
      <family val="0"/>
    </font>
    <font>
      <b/>
      <u val="single"/>
      <sz val="8"/>
      <name val="Arial"/>
      <family val="0"/>
    </font>
    <font>
      <b/>
      <i/>
      <sz val="8"/>
      <name val="Arial"/>
      <family val="0"/>
    </font>
    <font>
      <i/>
      <sz val="8"/>
      <name val="Arial"/>
      <family val="0"/>
    </font>
    <font>
      <u val="single"/>
      <sz val="10"/>
      <color indexed="12"/>
      <name val="Arial"/>
      <family val="0"/>
    </font>
    <font>
      <u val="single"/>
      <sz val="10"/>
      <color indexed="36"/>
      <name val="Arial"/>
      <family val="0"/>
    </font>
    <font>
      <sz val="8"/>
      <color indexed="12"/>
      <name val="Arial"/>
      <family val="0"/>
    </font>
    <font>
      <b/>
      <sz val="9"/>
      <color indexed="10"/>
      <name val="Arial"/>
      <family val="2"/>
    </font>
    <font>
      <u val="single"/>
      <sz val="8"/>
      <name val="Arial"/>
      <family val="0"/>
    </font>
    <font>
      <sz val="8"/>
      <color indexed="17"/>
      <name val="Arial"/>
      <family val="0"/>
    </font>
    <font>
      <sz val="8"/>
      <color indexed="56"/>
      <name val="Arial"/>
      <family val="0"/>
    </font>
    <font>
      <sz val="8"/>
      <name val="Tahoma"/>
      <family val="0"/>
    </font>
    <font>
      <b/>
      <sz val="8"/>
      <name val="Tahoma"/>
      <family val="0"/>
    </font>
    <font>
      <sz val="9"/>
      <name val="Arial"/>
      <family val="0"/>
    </font>
    <font>
      <b/>
      <sz val="9"/>
      <name val="Arial"/>
      <family val="2"/>
    </font>
    <font>
      <i/>
      <sz val="8"/>
      <color indexed="10"/>
      <name val="Arial"/>
      <family val="2"/>
    </font>
    <font>
      <i/>
      <sz val="8"/>
      <name val="Tahoma"/>
      <family val="2"/>
    </font>
    <font>
      <b/>
      <i/>
      <sz val="10"/>
      <color indexed="10"/>
      <name val="Arial"/>
      <family val="2"/>
    </font>
    <font>
      <sz val="8"/>
      <color indexed="10"/>
      <name val="Arial"/>
      <family val="2"/>
    </font>
    <font>
      <sz val="10"/>
      <color indexed="10"/>
      <name val="Arial"/>
      <family val="2"/>
    </font>
    <font>
      <b/>
      <u val="single"/>
      <sz val="10"/>
      <name val="Arial"/>
      <family val="2"/>
    </font>
    <font>
      <b/>
      <i/>
      <sz val="8"/>
      <color indexed="10"/>
      <name val="Arial"/>
      <family val="2"/>
    </font>
    <font>
      <b/>
      <u val="single"/>
      <sz val="8"/>
      <name val="Tahoma"/>
      <family val="2"/>
    </font>
    <font>
      <b/>
      <u val="single"/>
      <sz val="9"/>
      <name val="Arial"/>
      <family val="2"/>
    </font>
    <font>
      <b/>
      <i/>
      <sz val="9"/>
      <color indexed="10"/>
      <name val="Arial"/>
      <family val="2"/>
    </font>
    <font>
      <u val="single"/>
      <sz val="8"/>
      <name val="Tahoma"/>
      <family val="2"/>
    </font>
    <font>
      <sz val="9"/>
      <name val="Tahoma"/>
      <family val="2"/>
    </font>
    <font>
      <b/>
      <sz val="10"/>
      <color indexed="10"/>
      <name val="Arial"/>
      <family val="2"/>
    </font>
    <font>
      <b/>
      <i/>
      <sz val="10"/>
      <name val="Arial"/>
      <family val="2"/>
    </font>
    <font>
      <b/>
      <sz val="9"/>
      <name val="Tahoma"/>
      <family val="0"/>
    </font>
    <font>
      <sz val="8"/>
      <color indexed="10"/>
      <name val="Tahoma"/>
      <family val="2"/>
    </font>
    <font>
      <u val="single"/>
      <sz val="12"/>
      <name val="Arial"/>
      <family val="0"/>
    </font>
    <font>
      <b/>
      <u val="single"/>
      <sz val="12"/>
      <name val="Arial"/>
      <family val="2"/>
    </font>
    <font>
      <sz val="9"/>
      <color indexed="10"/>
      <name val="Arial"/>
      <family val="2"/>
    </font>
    <font>
      <b/>
      <sz val="12"/>
      <name val="Arial"/>
      <family val="2"/>
    </font>
    <font>
      <u val="single"/>
      <sz val="10"/>
      <name val="Arial"/>
      <family val="0"/>
    </font>
    <font>
      <u val="single"/>
      <sz val="9"/>
      <color indexed="10"/>
      <name val="Arial"/>
      <family val="2"/>
    </font>
    <font>
      <b/>
      <sz val="11"/>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0" fillId="20" borderId="1" applyNumberFormat="0" applyFont="0" applyAlignment="0" applyProtection="0"/>
    <xf numFmtId="0" fontId="61" fillId="21" borderId="2" applyNumberFormat="0" applyAlignment="0" applyProtection="0"/>
    <xf numFmtId="0" fontId="62"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3" fillId="29" borderId="0" applyNumberFormat="0" applyBorder="0" applyAlignment="0" applyProtection="0"/>
    <xf numFmtId="0" fontId="9"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30" borderId="2" applyNumberFormat="0" applyAlignment="0" applyProtection="0"/>
    <xf numFmtId="0" fontId="66" fillId="31" borderId="3" applyNumberFormat="0" applyAlignment="0" applyProtection="0"/>
    <xf numFmtId="0" fontId="67" fillId="0" borderId="4" applyNumberFormat="0" applyFill="0" applyAlignment="0" applyProtection="0"/>
    <xf numFmtId="0" fontId="68" fillId="32"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cellStyleXfs>
  <cellXfs count="882">
    <xf numFmtId="0" fontId="0" fillId="0" borderId="0" xfId="0" applyAlignment="1">
      <alignment/>
    </xf>
    <xf numFmtId="0" fontId="1" fillId="33" borderId="0" xfId="0" applyFont="1" applyFill="1" applyAlignment="1" applyProtection="1">
      <alignment/>
      <protection/>
    </xf>
    <xf numFmtId="0" fontId="1" fillId="0" borderId="0" xfId="0" applyFont="1" applyAlignment="1" applyProtection="1">
      <alignment/>
      <protection/>
    </xf>
    <xf numFmtId="0" fontId="1" fillId="0" borderId="0" xfId="0" applyFont="1" applyFill="1" applyAlignment="1" applyProtection="1">
      <alignment/>
      <protection/>
    </xf>
    <xf numFmtId="0" fontId="0" fillId="33" borderId="0" xfId="0"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0" xfId="0" applyFill="1" applyBorder="1" applyAlignment="1" applyProtection="1">
      <alignment/>
      <protection/>
    </xf>
    <xf numFmtId="0" fontId="1" fillId="33" borderId="11" xfId="0" applyFont="1" applyFill="1" applyBorder="1" applyAlignment="1" applyProtection="1">
      <alignmen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2" fontId="1" fillId="33"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0" fillId="33" borderId="0" xfId="0" applyFill="1" applyAlignment="1" applyProtection="1">
      <alignment horizontal="center"/>
      <protection/>
    </xf>
    <xf numFmtId="0" fontId="1" fillId="34" borderId="0" xfId="0" applyFont="1" applyFill="1" applyAlignment="1" applyProtection="1">
      <alignment/>
      <protection/>
    </xf>
    <xf numFmtId="0" fontId="1" fillId="35" borderId="13" xfId="0" applyFont="1" applyFill="1" applyBorder="1" applyAlignment="1" applyProtection="1">
      <alignment horizontal="center"/>
      <protection locked="0"/>
    </xf>
    <xf numFmtId="0" fontId="1" fillId="34" borderId="0" xfId="0" applyFont="1" applyFill="1" applyBorder="1" applyAlignment="1" applyProtection="1">
      <alignment/>
      <protection/>
    </xf>
    <xf numFmtId="3" fontId="1" fillId="35" borderId="13" xfId="0" applyNumberFormat="1" applyFont="1" applyFill="1" applyBorder="1" applyAlignment="1" applyProtection="1">
      <alignment/>
      <protection locked="0"/>
    </xf>
    <xf numFmtId="14" fontId="1" fillId="35" borderId="13" xfId="0" applyNumberFormat="1" applyFont="1" applyFill="1" applyBorder="1" applyAlignment="1" applyProtection="1">
      <alignment/>
      <protection locked="0"/>
    </xf>
    <xf numFmtId="0" fontId="1" fillId="34" borderId="0" xfId="0" applyFont="1" applyFill="1" applyAlignment="1" applyProtection="1">
      <alignment horizontal="right"/>
      <protection/>
    </xf>
    <xf numFmtId="0" fontId="4" fillId="34" borderId="0" xfId="0" applyFont="1" applyFill="1" applyAlignment="1" applyProtection="1">
      <alignment/>
      <protection/>
    </xf>
    <xf numFmtId="1" fontId="1" fillId="34" borderId="0" xfId="0" applyNumberFormat="1" applyFont="1" applyFill="1" applyBorder="1" applyAlignment="1" applyProtection="1">
      <alignment horizontal="left"/>
      <protection/>
    </xf>
    <xf numFmtId="0" fontId="5" fillId="34" borderId="0" xfId="0" applyFont="1" applyFill="1" applyAlignment="1" applyProtection="1">
      <alignment/>
      <protection/>
    </xf>
    <xf numFmtId="0" fontId="1" fillId="34" borderId="0" xfId="0" applyFont="1" applyFill="1" applyAlignment="1" applyProtection="1">
      <alignment horizontal="center"/>
      <protection/>
    </xf>
    <xf numFmtId="10" fontId="1" fillId="34" borderId="0" xfId="0" applyNumberFormat="1" applyFont="1" applyFill="1" applyAlignment="1" applyProtection="1">
      <alignment horizontal="center"/>
      <protection/>
    </xf>
    <xf numFmtId="3" fontId="1" fillId="34" borderId="13" xfId="0" applyNumberFormat="1" applyFont="1" applyFill="1" applyBorder="1" applyAlignment="1" applyProtection="1">
      <alignment/>
      <protection/>
    </xf>
    <xf numFmtId="0" fontId="4" fillId="34" borderId="0" xfId="0" applyFont="1" applyFill="1" applyBorder="1" applyAlignment="1" applyProtection="1">
      <alignment/>
      <protection/>
    </xf>
    <xf numFmtId="0" fontId="1" fillId="34" borderId="11" xfId="0" applyFont="1" applyFill="1" applyBorder="1" applyAlignment="1" applyProtection="1">
      <alignment horizontal="right"/>
      <protection/>
    </xf>
    <xf numFmtId="1" fontId="1" fillId="34" borderId="11" xfId="0" applyNumberFormat="1" applyFont="1" applyFill="1" applyBorder="1" applyAlignment="1" applyProtection="1">
      <alignment horizontal="left"/>
      <protection/>
    </xf>
    <xf numFmtId="3" fontId="1" fillId="34" borderId="14" xfId="0" applyNumberFormat="1" applyFont="1" applyFill="1" applyBorder="1" applyAlignment="1" applyProtection="1">
      <alignment horizontal="right"/>
      <protection/>
    </xf>
    <xf numFmtId="0" fontId="1" fillId="34" borderId="10" xfId="0" applyFont="1" applyFill="1" applyBorder="1" applyAlignment="1" applyProtection="1">
      <alignment horizontal="right"/>
      <protection/>
    </xf>
    <xf numFmtId="0" fontId="1" fillId="34" borderId="11" xfId="0" applyFont="1" applyFill="1" applyBorder="1" applyAlignment="1" applyProtection="1">
      <alignment horizontal="left"/>
      <protection/>
    </xf>
    <xf numFmtId="3" fontId="1" fillId="34" borderId="14" xfId="0" applyNumberFormat="1" applyFont="1" applyFill="1" applyBorder="1" applyAlignment="1" applyProtection="1">
      <alignment/>
      <protection/>
    </xf>
    <xf numFmtId="168" fontId="1" fillId="34" borderId="12" xfId="0" applyNumberFormat="1" applyFont="1" applyFill="1" applyBorder="1" applyAlignment="1" applyProtection="1">
      <alignment/>
      <protection/>
    </xf>
    <xf numFmtId="168" fontId="1" fillId="34" borderId="0" xfId="0" applyNumberFormat="1" applyFont="1" applyFill="1" applyBorder="1" applyAlignment="1" applyProtection="1">
      <alignment/>
      <protection/>
    </xf>
    <xf numFmtId="0" fontId="1" fillId="34" borderId="0" xfId="0" applyFont="1" applyFill="1" applyBorder="1" applyAlignment="1" applyProtection="1">
      <alignment horizontal="right"/>
      <protection/>
    </xf>
    <xf numFmtId="0" fontId="1" fillId="34" borderId="0" xfId="0" applyFont="1" applyFill="1" applyBorder="1" applyAlignment="1" applyProtection="1">
      <alignment horizontal="left"/>
      <protection/>
    </xf>
    <xf numFmtId="3" fontId="6" fillId="34" borderId="15" xfId="0" applyNumberFormat="1" applyFont="1" applyFill="1" applyBorder="1" applyAlignment="1" applyProtection="1">
      <alignment/>
      <protection/>
    </xf>
    <xf numFmtId="0" fontId="1" fillId="34" borderId="12" xfId="0" applyFont="1" applyFill="1" applyBorder="1" applyAlignment="1" applyProtection="1">
      <alignment/>
      <protection/>
    </xf>
    <xf numFmtId="3" fontId="1" fillId="34" borderId="15" xfId="0" applyNumberFormat="1" applyFont="1" applyFill="1" applyBorder="1" applyAlignment="1" applyProtection="1">
      <alignment/>
      <protection/>
    </xf>
    <xf numFmtId="0" fontId="1" fillId="34" borderId="12" xfId="0" applyFont="1" applyFill="1" applyBorder="1" applyAlignment="1" applyProtection="1">
      <alignment horizontal="right"/>
      <protection/>
    </xf>
    <xf numFmtId="3" fontId="1" fillId="34" borderId="0" xfId="0" applyNumberFormat="1" applyFont="1" applyFill="1" applyBorder="1" applyAlignment="1" applyProtection="1">
      <alignment/>
      <protection/>
    </xf>
    <xf numFmtId="3" fontId="6" fillId="34" borderId="16" xfId="0" applyNumberFormat="1" applyFont="1" applyFill="1" applyBorder="1" applyAlignment="1" applyProtection="1">
      <alignment/>
      <protection/>
    </xf>
    <xf numFmtId="9" fontId="1" fillId="34" borderId="0" xfId="0" applyNumberFormat="1" applyFont="1" applyFill="1" applyAlignment="1" applyProtection="1">
      <alignment horizontal="center"/>
      <protection/>
    </xf>
    <xf numFmtId="0" fontId="4" fillId="34" borderId="13" xfId="0" applyFont="1" applyFill="1" applyBorder="1" applyAlignment="1" applyProtection="1">
      <alignment horizontal="center"/>
      <protection/>
    </xf>
    <xf numFmtId="0" fontId="4" fillId="34" borderId="12" xfId="0" applyFont="1" applyFill="1" applyBorder="1" applyAlignment="1" applyProtection="1">
      <alignment horizontal="center"/>
      <protection/>
    </xf>
    <xf numFmtId="0" fontId="4" fillId="34" borderId="0" xfId="0" applyFont="1" applyFill="1" applyAlignment="1" applyProtection="1">
      <alignment horizontal="center"/>
      <protection/>
    </xf>
    <xf numFmtId="0" fontId="1" fillId="34" borderId="0" xfId="0" applyFont="1" applyFill="1" applyBorder="1" applyAlignment="1" applyProtection="1">
      <alignment horizontal="center"/>
      <protection/>
    </xf>
    <xf numFmtId="0" fontId="1" fillId="34" borderId="17" xfId="0" applyFont="1" applyFill="1" applyBorder="1" applyAlignment="1" applyProtection="1">
      <alignment/>
      <protection/>
    </xf>
    <xf numFmtId="0" fontId="1" fillId="34" borderId="18" xfId="0" applyFont="1" applyFill="1" applyBorder="1" applyAlignment="1" applyProtection="1">
      <alignment/>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167" fontId="1" fillId="0" borderId="0" xfId="0" applyNumberFormat="1" applyFont="1" applyFill="1" applyAlignment="1" applyProtection="1">
      <alignment/>
      <protection/>
    </xf>
    <xf numFmtId="3" fontId="10" fillId="35" borderId="13" xfId="0" applyNumberFormat="1" applyFont="1" applyFill="1" applyBorder="1" applyAlignment="1" applyProtection="1">
      <alignment/>
      <protection locked="0"/>
    </xf>
    <xf numFmtId="3" fontId="6" fillId="34" borderId="19" xfId="0" applyNumberFormat="1" applyFont="1" applyFill="1" applyBorder="1" applyAlignment="1" applyProtection="1">
      <alignment/>
      <protection/>
    </xf>
    <xf numFmtId="0" fontId="1" fillId="34" borderId="10" xfId="0" applyFont="1" applyFill="1" applyBorder="1" applyAlignment="1" applyProtection="1">
      <alignment horizontal="left"/>
      <protection/>
    </xf>
    <xf numFmtId="0" fontId="1" fillId="34" borderId="12" xfId="0" applyFont="1" applyFill="1" applyBorder="1" applyAlignment="1" applyProtection="1">
      <alignment horizontal="left"/>
      <protection/>
    </xf>
    <xf numFmtId="3" fontId="1" fillId="35" borderId="13" xfId="0" applyNumberFormat="1" applyFont="1" applyFill="1" applyBorder="1" applyAlignment="1" applyProtection="1">
      <alignment horizontal="center"/>
      <protection locked="0"/>
    </xf>
    <xf numFmtId="0" fontId="11" fillId="34" borderId="0" xfId="0" applyFont="1" applyFill="1" applyAlignment="1" applyProtection="1">
      <alignment horizontal="center"/>
      <protection/>
    </xf>
    <xf numFmtId="0" fontId="1" fillId="33" borderId="15" xfId="0" applyFont="1" applyFill="1" applyBorder="1" applyAlignment="1" applyProtection="1">
      <alignment/>
      <protection/>
    </xf>
    <xf numFmtId="0" fontId="4" fillId="0" borderId="0" xfId="0" applyFont="1" applyFill="1" applyAlignment="1" applyProtection="1">
      <alignment/>
      <protection/>
    </xf>
    <xf numFmtId="3" fontId="6" fillId="0" borderId="0" xfId="0" applyNumberFormat="1" applyFont="1" applyFill="1" applyBorder="1" applyAlignment="1" applyProtection="1">
      <alignment/>
      <protection/>
    </xf>
    <xf numFmtId="0" fontId="4" fillId="34" borderId="0" xfId="0" applyFont="1" applyFill="1" applyAlignment="1" applyProtection="1">
      <alignment/>
      <protection/>
    </xf>
    <xf numFmtId="0" fontId="4" fillId="0" borderId="0" xfId="0" applyFont="1" applyFill="1" applyBorder="1" applyAlignment="1" applyProtection="1">
      <alignment/>
      <protection/>
    </xf>
    <xf numFmtId="174" fontId="1" fillId="34" borderId="0" xfId="0" applyNumberFormat="1" applyFont="1" applyFill="1" applyBorder="1" applyAlignment="1" applyProtection="1">
      <alignment horizontal="left"/>
      <protection/>
    </xf>
    <xf numFmtId="0" fontId="0" fillId="36" borderId="0" xfId="0" applyFill="1" applyBorder="1" applyAlignment="1" applyProtection="1">
      <alignment/>
      <protection/>
    </xf>
    <xf numFmtId="0" fontId="0" fillId="36" borderId="18" xfId="0" applyFill="1" applyBorder="1" applyAlignment="1" applyProtection="1">
      <alignment/>
      <protection/>
    </xf>
    <xf numFmtId="0" fontId="0" fillId="36" borderId="0" xfId="0" applyFill="1" applyAlignment="1" applyProtection="1">
      <alignment/>
      <protection/>
    </xf>
    <xf numFmtId="0" fontId="0" fillId="0" borderId="0" xfId="0" applyAlignment="1">
      <alignment horizontal="center"/>
    </xf>
    <xf numFmtId="2" fontId="1" fillId="33" borderId="11" xfId="0" applyNumberFormat="1" applyFont="1" applyFill="1" applyBorder="1" applyAlignment="1" applyProtection="1">
      <alignment/>
      <protection/>
    </xf>
    <xf numFmtId="0" fontId="4" fillId="33" borderId="10" xfId="0" applyFont="1" applyFill="1" applyBorder="1" applyAlignment="1" applyProtection="1">
      <alignment/>
      <protection/>
    </xf>
    <xf numFmtId="0" fontId="4" fillId="33" borderId="12" xfId="0" applyFont="1" applyFill="1" applyBorder="1" applyAlignment="1" applyProtection="1">
      <alignment/>
      <protection/>
    </xf>
    <xf numFmtId="0" fontId="1" fillId="34" borderId="15" xfId="0" applyFont="1" applyFill="1" applyBorder="1" applyAlignment="1" applyProtection="1">
      <alignment/>
      <protection/>
    </xf>
    <xf numFmtId="0" fontId="0" fillId="34" borderId="0" xfId="0" applyFill="1" applyBorder="1" applyAlignment="1">
      <alignment/>
    </xf>
    <xf numFmtId="0" fontId="1" fillId="33" borderId="0" xfId="0" applyFont="1" applyFill="1" applyBorder="1" applyAlignment="1" applyProtection="1">
      <alignment horizontal="center"/>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1" fillId="33" borderId="0" xfId="0" applyFont="1" applyFill="1" applyBorder="1" applyAlignment="1" applyProtection="1">
      <alignment/>
      <protection/>
    </xf>
    <xf numFmtId="0" fontId="1" fillId="33" borderId="11" xfId="0" applyFont="1" applyFill="1" applyBorder="1" applyAlignment="1" applyProtection="1">
      <alignment horizontal="center"/>
      <protection/>
    </xf>
    <xf numFmtId="3" fontId="1" fillId="34" borderId="13" xfId="0" applyNumberFormat="1" applyFont="1" applyFill="1" applyBorder="1" applyAlignment="1">
      <alignment/>
    </xf>
    <xf numFmtId="0" fontId="1" fillId="33" borderId="14" xfId="0" applyFont="1" applyFill="1" applyBorder="1" applyAlignment="1" applyProtection="1">
      <alignment/>
      <protection/>
    </xf>
    <xf numFmtId="0" fontId="1" fillId="33" borderId="0" xfId="0" applyFont="1" applyFill="1" applyAlignment="1" applyProtection="1">
      <alignment horizontal="center"/>
      <protection/>
    </xf>
    <xf numFmtId="0" fontId="1" fillId="0" borderId="0" xfId="0" applyFont="1" applyAlignment="1">
      <alignment/>
    </xf>
    <xf numFmtId="0" fontId="1" fillId="33" borderId="0" xfId="0" applyFont="1" applyFill="1" applyAlignment="1" applyProtection="1">
      <alignment horizontal="right"/>
      <protection/>
    </xf>
    <xf numFmtId="0" fontId="2" fillId="0" borderId="0" xfId="0" applyFont="1" applyAlignment="1">
      <alignment/>
    </xf>
    <xf numFmtId="0" fontId="4" fillId="33" borderId="0" xfId="0" applyFont="1" applyFill="1" applyBorder="1" applyAlignment="1" applyProtection="1">
      <alignment horizontal="center"/>
      <protection/>
    </xf>
    <xf numFmtId="0" fontId="4" fillId="33" borderId="0" xfId="0" applyFont="1" applyFill="1" applyBorder="1" applyAlignment="1" applyProtection="1">
      <alignment horizontal="center"/>
      <protection/>
    </xf>
    <xf numFmtId="170" fontId="1" fillId="33" borderId="11" xfId="0" applyNumberFormat="1" applyFont="1" applyFill="1" applyBorder="1" applyAlignment="1" applyProtection="1">
      <alignment horizontal="center"/>
      <protection/>
    </xf>
    <xf numFmtId="170" fontId="1" fillId="33" borderId="0" xfId="0" applyNumberFormat="1"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168" fontId="1" fillId="33" borderId="15" xfId="0" applyNumberFormat="1" applyFont="1" applyFill="1" applyBorder="1" applyAlignment="1" applyProtection="1">
      <alignment/>
      <protection/>
    </xf>
    <xf numFmtId="14" fontId="1" fillId="33" borderId="15" xfId="0" applyNumberFormat="1" applyFont="1" applyFill="1" applyBorder="1" applyAlignment="1" applyProtection="1">
      <alignment/>
      <protection/>
    </xf>
    <xf numFmtId="167" fontId="1" fillId="33" borderId="15" xfId="0" applyNumberFormat="1" applyFont="1" applyFill="1" applyBorder="1" applyAlignment="1" applyProtection="1">
      <alignment/>
      <protection/>
    </xf>
    <xf numFmtId="173" fontId="1" fillId="33" borderId="15"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1" fontId="1" fillId="33" borderId="11" xfId="0" applyNumberFormat="1" applyFont="1" applyFill="1" applyBorder="1" applyAlignment="1" applyProtection="1">
      <alignment/>
      <protection/>
    </xf>
    <xf numFmtId="171" fontId="1" fillId="33" borderId="0" xfId="0" applyNumberFormat="1" applyFont="1" applyFill="1" applyBorder="1" applyAlignment="1" applyProtection="1">
      <alignment/>
      <protection/>
    </xf>
    <xf numFmtId="0" fontId="5" fillId="34" borderId="0" xfId="0" applyFont="1" applyFill="1" applyAlignment="1" applyProtection="1">
      <alignment/>
      <protection/>
    </xf>
    <xf numFmtId="0" fontId="0" fillId="33" borderId="0" xfId="0" applyFill="1" applyAlignment="1">
      <alignment/>
    </xf>
    <xf numFmtId="171" fontId="1" fillId="0" borderId="0" xfId="0" applyNumberFormat="1" applyFont="1" applyFill="1" applyBorder="1" applyAlignment="1" applyProtection="1">
      <alignment/>
      <protection/>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1" fillId="34" borderId="0" xfId="0" applyFont="1" applyFill="1" applyAlignment="1" applyProtection="1">
      <alignment horizontal="center"/>
      <protection/>
    </xf>
    <xf numFmtId="0" fontId="2" fillId="34" borderId="12" xfId="0" applyFont="1" applyFill="1" applyBorder="1" applyAlignment="1">
      <alignment/>
    </xf>
    <xf numFmtId="0" fontId="12" fillId="34" borderId="15" xfId="0" applyFont="1" applyFill="1" applyBorder="1" applyAlignment="1" applyProtection="1">
      <alignment/>
      <protection/>
    </xf>
    <xf numFmtId="2" fontId="1" fillId="37" borderId="0" xfId="0" applyNumberFormat="1" applyFont="1" applyFill="1" applyBorder="1" applyAlignment="1" applyProtection="1">
      <alignment/>
      <protection locked="0"/>
    </xf>
    <xf numFmtId="171" fontId="0" fillId="0" borderId="0" xfId="0" applyNumberFormat="1" applyAlignment="1">
      <alignment/>
    </xf>
    <xf numFmtId="170" fontId="1" fillId="33" borderId="0" xfId="0" applyNumberFormat="1" applyFont="1" applyFill="1" applyBorder="1" applyAlignment="1" applyProtection="1">
      <alignment/>
      <protection/>
    </xf>
    <xf numFmtId="170" fontId="1" fillId="33" borderId="11" xfId="0" applyNumberFormat="1" applyFont="1" applyFill="1" applyBorder="1" applyAlignment="1" applyProtection="1">
      <alignment/>
      <protection/>
    </xf>
    <xf numFmtId="2" fontId="1" fillId="37" borderId="11" xfId="0" applyNumberFormat="1" applyFont="1" applyFill="1" applyBorder="1" applyAlignment="1" applyProtection="1">
      <alignment/>
      <protection/>
    </xf>
    <xf numFmtId="2" fontId="1" fillId="37" borderId="0" xfId="0" applyNumberFormat="1" applyFont="1" applyFill="1" applyBorder="1" applyAlignment="1" applyProtection="1">
      <alignment/>
      <protection/>
    </xf>
    <xf numFmtId="3" fontId="1" fillId="37" borderId="0" xfId="0" applyNumberFormat="1" applyFont="1" applyFill="1" applyBorder="1" applyAlignment="1" applyProtection="1">
      <alignment/>
      <protection/>
    </xf>
    <xf numFmtId="3" fontId="13" fillId="37" borderId="0" xfId="0" applyNumberFormat="1" applyFont="1" applyFill="1" applyBorder="1" applyAlignment="1" applyProtection="1">
      <alignment/>
      <protection/>
    </xf>
    <xf numFmtId="3" fontId="14" fillId="37" borderId="0" xfId="0" applyNumberFormat="1" applyFont="1" applyFill="1" applyBorder="1" applyAlignment="1" applyProtection="1">
      <alignment/>
      <protection/>
    </xf>
    <xf numFmtId="3" fontId="1" fillId="37" borderId="15" xfId="0" applyNumberFormat="1" applyFont="1" applyFill="1" applyBorder="1" applyAlignment="1" applyProtection="1">
      <alignment/>
      <protection/>
    </xf>
    <xf numFmtId="0" fontId="1" fillId="33" borderId="0" xfId="0" applyFont="1" applyFill="1" applyBorder="1" applyAlignment="1" applyProtection="1">
      <alignment horizontal="left"/>
      <protection/>
    </xf>
    <xf numFmtId="3" fontId="14" fillId="37" borderId="0" xfId="0" applyNumberFormat="1" applyFont="1" applyFill="1" applyBorder="1" applyAlignment="1" applyProtection="1">
      <alignment/>
      <protection locked="0"/>
    </xf>
    <xf numFmtId="3" fontId="1" fillId="37" borderId="15" xfId="0" applyNumberFormat="1" applyFont="1" applyFill="1" applyBorder="1" applyAlignment="1" applyProtection="1">
      <alignment/>
      <protection locked="0"/>
    </xf>
    <xf numFmtId="0" fontId="3" fillId="33" borderId="0" xfId="0" applyFont="1" applyFill="1" applyBorder="1" applyAlignment="1" applyProtection="1">
      <alignment/>
      <protection/>
    </xf>
    <xf numFmtId="0" fontId="0" fillId="33" borderId="0" xfId="0" applyFill="1" applyBorder="1" applyAlignment="1">
      <alignment/>
    </xf>
    <xf numFmtId="0" fontId="1" fillId="33" borderId="12" xfId="0" applyFont="1" applyFill="1" applyBorder="1" applyAlignment="1" applyProtection="1">
      <alignment horizontal="left"/>
      <protection/>
    </xf>
    <xf numFmtId="0" fontId="1" fillId="33" borderId="12" xfId="0" applyFont="1" applyFill="1" applyBorder="1" applyAlignment="1">
      <alignment/>
    </xf>
    <xf numFmtId="0" fontId="1" fillId="33" borderId="18" xfId="0" applyFont="1" applyFill="1" applyBorder="1" applyAlignment="1" applyProtection="1">
      <alignment/>
      <protection/>
    </xf>
    <xf numFmtId="175" fontId="1" fillId="33" borderId="15" xfId="0" applyNumberFormat="1" applyFont="1" applyFill="1" applyBorder="1" applyAlignment="1" applyProtection="1">
      <alignment/>
      <protection/>
    </xf>
    <xf numFmtId="176" fontId="1" fillId="34" borderId="0" xfId="0" applyNumberFormat="1" applyFont="1" applyFill="1" applyBorder="1" applyAlignment="1" applyProtection="1">
      <alignment horizontal="center"/>
      <protection/>
    </xf>
    <xf numFmtId="0" fontId="1" fillId="34" borderId="12" xfId="0" applyFont="1" applyFill="1" applyBorder="1" applyAlignment="1" applyProtection="1">
      <alignment/>
      <protection/>
    </xf>
    <xf numFmtId="169" fontId="1" fillId="33" borderId="15" xfId="0" applyNumberFormat="1" applyFont="1" applyFill="1" applyBorder="1" applyAlignment="1" applyProtection="1">
      <alignment/>
      <protection/>
    </xf>
    <xf numFmtId="0" fontId="1" fillId="33" borderId="17" xfId="0" applyFont="1" applyFill="1" applyBorder="1" applyAlignment="1">
      <alignment/>
    </xf>
    <xf numFmtId="0" fontId="0" fillId="33" borderId="18" xfId="0" applyFill="1" applyBorder="1" applyAlignment="1">
      <alignment/>
    </xf>
    <xf numFmtId="0" fontId="0" fillId="33" borderId="12" xfId="0" applyFill="1" applyBorder="1" applyAlignment="1">
      <alignment/>
    </xf>
    <xf numFmtId="0" fontId="0" fillId="33" borderId="15" xfId="0" applyFill="1" applyBorder="1" applyAlignment="1">
      <alignment/>
    </xf>
    <xf numFmtId="10" fontId="1" fillId="33" borderId="10" xfId="0" applyNumberFormat="1" applyFont="1" applyFill="1" applyBorder="1" applyAlignment="1" applyProtection="1">
      <alignment/>
      <protection/>
    </xf>
    <xf numFmtId="166" fontId="1" fillId="33" borderId="14" xfId="0" applyNumberFormat="1" applyFont="1" applyFill="1" applyBorder="1" applyAlignment="1" applyProtection="1">
      <alignment/>
      <protection/>
    </xf>
    <xf numFmtId="10" fontId="1" fillId="33" borderId="17" xfId="0" applyNumberFormat="1" applyFont="1" applyFill="1" applyBorder="1" applyAlignment="1" applyProtection="1">
      <alignment/>
      <protection/>
    </xf>
    <xf numFmtId="0" fontId="1" fillId="33" borderId="18" xfId="0" applyFont="1" applyFill="1" applyBorder="1" applyAlignment="1" applyProtection="1">
      <alignment/>
      <protection/>
    </xf>
    <xf numFmtId="166" fontId="1" fillId="33" borderId="19" xfId="0" applyNumberFormat="1" applyFont="1"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168" fontId="1" fillId="34" borderId="11" xfId="0" applyNumberFormat="1" applyFont="1" applyFill="1" applyBorder="1" applyAlignment="1" applyProtection="1">
      <alignment/>
      <protection/>
    </xf>
    <xf numFmtId="1" fontId="1" fillId="34" borderId="15" xfId="0" applyNumberFormat="1" applyFont="1" applyFill="1" applyBorder="1" applyAlignment="1" applyProtection="1">
      <alignment/>
      <protection/>
    </xf>
    <xf numFmtId="168" fontId="1" fillId="34" borderId="18" xfId="0" applyNumberFormat="1" applyFont="1" applyFill="1" applyBorder="1" applyAlignment="1" applyProtection="1">
      <alignment/>
      <protection/>
    </xf>
    <xf numFmtId="1" fontId="1" fillId="34" borderId="19" xfId="0" applyNumberFormat="1" applyFont="1" applyFill="1" applyBorder="1" applyAlignment="1" applyProtection="1">
      <alignment/>
      <protection/>
    </xf>
    <xf numFmtId="0" fontId="4" fillId="34" borderId="10" xfId="0" applyFont="1" applyFill="1" applyBorder="1" applyAlignment="1" applyProtection="1">
      <alignment/>
      <protection/>
    </xf>
    <xf numFmtId="168" fontId="1" fillId="34" borderId="14" xfId="0" applyNumberFormat="1" applyFont="1" applyFill="1" applyBorder="1" applyAlignment="1" applyProtection="1">
      <alignment horizontal="right"/>
      <protection/>
    </xf>
    <xf numFmtId="0" fontId="2" fillId="34" borderId="0" xfId="0" applyFont="1" applyFill="1" applyBorder="1" applyAlignment="1" applyProtection="1">
      <alignment/>
      <protection/>
    </xf>
    <xf numFmtId="3" fontId="6" fillId="34" borderId="0" xfId="0" applyNumberFormat="1" applyFont="1" applyFill="1" applyBorder="1" applyAlignment="1" applyProtection="1">
      <alignment/>
      <protection/>
    </xf>
    <xf numFmtId="0" fontId="4" fillId="34" borderId="0" xfId="0" applyFont="1" applyFill="1" applyAlignment="1" applyProtection="1">
      <alignment horizontal="center"/>
      <protection/>
    </xf>
    <xf numFmtId="0" fontId="1" fillId="35" borderId="13" xfId="0" applyFont="1" applyFill="1" applyBorder="1" applyAlignment="1" applyProtection="1">
      <alignment/>
      <protection locked="0"/>
    </xf>
    <xf numFmtId="9" fontId="1" fillId="35" borderId="13" xfId="50" applyFont="1" applyFill="1" applyBorder="1" applyAlignment="1" applyProtection="1">
      <alignment/>
      <protection locked="0"/>
    </xf>
    <xf numFmtId="9" fontId="1" fillId="34" borderId="13" xfId="50" applyFont="1" applyFill="1" applyBorder="1" applyAlignment="1" applyProtection="1">
      <alignment horizontal="center"/>
      <protection/>
    </xf>
    <xf numFmtId="9" fontId="1" fillId="35" borderId="13" xfId="0" applyNumberFormat="1" applyFont="1" applyFill="1" applyBorder="1" applyAlignment="1" applyProtection="1">
      <alignment horizontal="center"/>
      <protection locked="0"/>
    </xf>
    <xf numFmtId="0" fontId="4" fillId="34" borderId="0" xfId="0" applyFont="1" applyFill="1" applyAlignment="1" applyProtection="1">
      <alignment horizontal="right"/>
      <protection/>
    </xf>
    <xf numFmtId="3" fontId="4" fillId="34" borderId="13" xfId="0" applyNumberFormat="1" applyFont="1" applyFill="1" applyBorder="1" applyAlignment="1" applyProtection="1">
      <alignment/>
      <protection/>
    </xf>
    <xf numFmtId="0" fontId="1" fillId="34" borderId="0" xfId="0" applyFont="1" applyFill="1" applyAlignment="1" applyProtection="1">
      <alignment/>
      <protection/>
    </xf>
    <xf numFmtId="9" fontId="1" fillId="34" borderId="13" xfId="0" applyNumberFormat="1" applyFont="1" applyFill="1" applyBorder="1" applyAlignment="1" applyProtection="1">
      <alignment horizontal="center"/>
      <protection/>
    </xf>
    <xf numFmtId="0" fontId="12" fillId="34" borderId="0" xfId="0" applyFont="1" applyFill="1" applyAlignment="1" applyProtection="1">
      <alignment/>
      <protection/>
    </xf>
    <xf numFmtId="167" fontId="1" fillId="34" borderId="0" xfId="0" applyNumberFormat="1" applyFont="1" applyFill="1" applyAlignment="1" applyProtection="1">
      <alignment/>
      <protection/>
    </xf>
    <xf numFmtId="3" fontId="1" fillId="34" borderId="13" xfId="0" applyNumberFormat="1" applyFont="1" applyFill="1" applyBorder="1" applyAlignment="1" applyProtection="1">
      <alignment horizontal="center"/>
      <protection/>
    </xf>
    <xf numFmtId="0" fontId="1" fillId="34" borderId="13" xfId="0" applyFont="1" applyFill="1" applyBorder="1" applyAlignment="1" applyProtection="1">
      <alignment horizontal="center"/>
      <protection/>
    </xf>
    <xf numFmtId="0" fontId="0" fillId="38" borderId="0" xfId="0" applyFill="1" applyAlignment="1">
      <alignment horizontal="center"/>
    </xf>
    <xf numFmtId="0" fontId="0" fillId="38" borderId="0" xfId="0" applyFill="1" applyAlignment="1">
      <alignment/>
    </xf>
    <xf numFmtId="9" fontId="0" fillId="38" borderId="0" xfId="50" applyFont="1" applyFill="1" applyAlignment="1">
      <alignment/>
    </xf>
    <xf numFmtId="0" fontId="0" fillId="34" borderId="0" xfId="0" applyFill="1" applyAlignment="1">
      <alignment/>
    </xf>
    <xf numFmtId="0" fontId="1" fillId="34" borderId="0" xfId="0" applyFont="1" applyFill="1" applyAlignment="1">
      <alignment/>
    </xf>
    <xf numFmtId="0" fontId="4" fillId="34" borderId="0" xfId="0" applyFont="1" applyFill="1" applyAlignment="1">
      <alignment horizontal="center"/>
    </xf>
    <xf numFmtId="3" fontId="1" fillId="34" borderId="0" xfId="0" applyNumberFormat="1" applyFont="1" applyFill="1" applyAlignment="1" applyProtection="1">
      <alignment/>
      <protection/>
    </xf>
    <xf numFmtId="0" fontId="19" fillId="34" borderId="0" xfId="0" applyFont="1" applyFill="1" applyAlignment="1" applyProtection="1">
      <alignment horizontal="center"/>
      <protection/>
    </xf>
    <xf numFmtId="0" fontId="0" fillId="0" borderId="0" xfId="0" applyFill="1" applyAlignment="1">
      <alignment/>
    </xf>
    <xf numFmtId="3" fontId="4" fillId="34" borderId="20" xfId="0" applyNumberFormat="1" applyFont="1" applyFill="1" applyBorder="1" applyAlignment="1" applyProtection="1">
      <alignment/>
      <protection/>
    </xf>
    <xf numFmtId="3" fontId="18" fillId="37" borderId="16" xfId="0" applyNumberFormat="1" applyFont="1" applyFill="1" applyBorder="1" applyAlignment="1">
      <alignment/>
    </xf>
    <xf numFmtId="3" fontId="6" fillId="38" borderId="16" xfId="0" applyNumberFormat="1" applyFont="1" applyFill="1" applyBorder="1" applyAlignment="1" applyProtection="1">
      <alignment/>
      <protection/>
    </xf>
    <xf numFmtId="3" fontId="6" fillId="37" borderId="21" xfId="0" applyNumberFormat="1" applyFont="1" applyFill="1" applyBorder="1" applyAlignment="1" applyProtection="1">
      <alignment horizontal="center"/>
      <protection/>
    </xf>
    <xf numFmtId="3" fontId="19" fillId="34" borderId="0" xfId="0" applyNumberFormat="1" applyFont="1" applyFill="1" applyBorder="1" applyAlignment="1" applyProtection="1">
      <alignment/>
      <protection/>
    </xf>
    <xf numFmtId="0" fontId="1" fillId="34" borderId="0" xfId="0" applyFont="1" applyFill="1" applyAlignment="1">
      <alignment horizontal="center"/>
    </xf>
    <xf numFmtId="173" fontId="1" fillId="34" borderId="0" xfId="0" applyNumberFormat="1" applyFont="1" applyFill="1" applyAlignment="1" applyProtection="1">
      <alignment/>
      <protection/>
    </xf>
    <xf numFmtId="0" fontId="12" fillId="34" borderId="0" xfId="0" applyFont="1" applyFill="1" applyAlignment="1" applyProtection="1">
      <alignment/>
      <protection/>
    </xf>
    <xf numFmtId="0" fontId="0" fillId="34" borderId="0" xfId="0" applyFill="1" applyAlignment="1">
      <alignment horizontal="center"/>
    </xf>
    <xf numFmtId="0" fontId="1" fillId="34" borderId="0" xfId="0" applyFont="1" applyFill="1" applyAlignment="1">
      <alignment horizontal="left"/>
    </xf>
    <xf numFmtId="0" fontId="1" fillId="34" borderId="0" xfId="0" applyFont="1" applyFill="1" applyAlignment="1" applyProtection="1">
      <alignment horizontal="left"/>
      <protection/>
    </xf>
    <xf numFmtId="3" fontId="1" fillId="34" borderId="20"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1" fillId="34" borderId="0" xfId="0" applyFont="1" applyFill="1" applyAlignment="1">
      <alignment textRotation="90"/>
    </xf>
    <xf numFmtId="0" fontId="4" fillId="34" borderId="11" xfId="0" applyFont="1" applyFill="1" applyBorder="1" applyAlignment="1" applyProtection="1">
      <alignment/>
      <protection/>
    </xf>
    <xf numFmtId="9" fontId="1" fillId="34" borderId="13" xfId="0" applyNumberFormat="1" applyFont="1" applyFill="1" applyBorder="1" applyAlignment="1" applyProtection="1">
      <alignment/>
      <protection/>
    </xf>
    <xf numFmtId="3" fontId="0" fillId="0" borderId="0" xfId="0" applyNumberFormat="1" applyAlignment="1">
      <alignment/>
    </xf>
    <xf numFmtId="3" fontId="0" fillId="34" borderId="0" xfId="0" applyNumberFormat="1" applyFill="1" applyAlignment="1">
      <alignment/>
    </xf>
    <xf numFmtId="0" fontId="0" fillId="35" borderId="22" xfId="0" applyFill="1" applyBorder="1" applyAlignment="1">
      <alignment/>
    </xf>
    <xf numFmtId="0" fontId="0" fillId="35" borderId="23" xfId="0" applyFill="1" applyBorder="1" applyAlignment="1">
      <alignment/>
    </xf>
    <xf numFmtId="0" fontId="0" fillId="35" borderId="24" xfId="0" applyFill="1" applyBorder="1" applyAlignment="1">
      <alignment/>
    </xf>
    <xf numFmtId="0" fontId="2" fillId="34" borderId="0" xfId="0" applyFont="1" applyFill="1" applyAlignment="1">
      <alignment horizontal="center"/>
    </xf>
    <xf numFmtId="0" fontId="2" fillId="34" borderId="0" xfId="0" applyFont="1" applyFill="1" applyAlignment="1">
      <alignment horizontal="left"/>
    </xf>
    <xf numFmtId="0" fontId="2" fillId="34" borderId="0" xfId="0" applyFont="1" applyFill="1" applyAlignment="1">
      <alignment/>
    </xf>
    <xf numFmtId="0" fontId="4" fillId="0" borderId="11" xfId="0" applyFont="1" applyBorder="1" applyAlignment="1">
      <alignment/>
    </xf>
    <xf numFmtId="0" fontId="0" fillId="0" borderId="14" xfId="0" applyBorder="1" applyAlignment="1">
      <alignment/>
    </xf>
    <xf numFmtId="9" fontId="0" fillId="34" borderId="13" xfId="50" applyFont="1" applyFill="1" applyBorder="1" applyAlignment="1">
      <alignment/>
    </xf>
    <xf numFmtId="3" fontId="1" fillId="0" borderId="0" xfId="0" applyNumberFormat="1" applyFont="1" applyBorder="1" applyAlignment="1">
      <alignment/>
    </xf>
    <xf numFmtId="0" fontId="4" fillId="0" borderId="0" xfId="0" applyFont="1" applyBorder="1" applyAlignment="1">
      <alignment/>
    </xf>
    <xf numFmtId="3" fontId="1" fillId="0" borderId="15" xfId="0" applyNumberFormat="1" applyFont="1" applyBorder="1" applyAlignment="1">
      <alignment/>
    </xf>
    <xf numFmtId="0" fontId="2" fillId="34" borderId="13" xfId="0" applyFont="1" applyFill="1" applyBorder="1" applyAlignment="1">
      <alignment horizontal="center"/>
    </xf>
    <xf numFmtId="3" fontId="0" fillId="34" borderId="13" xfId="0" applyNumberFormat="1" applyFill="1" applyBorder="1" applyAlignment="1">
      <alignment/>
    </xf>
    <xf numFmtId="4" fontId="0" fillId="38" borderId="0" xfId="0" applyNumberFormat="1" applyFill="1" applyAlignment="1">
      <alignment/>
    </xf>
    <xf numFmtId="1" fontId="0" fillId="0" borderId="0" xfId="0" applyNumberFormat="1" applyAlignment="1">
      <alignment/>
    </xf>
    <xf numFmtId="3" fontId="0" fillId="34" borderId="13" xfId="50" applyNumberFormat="1" applyFont="1" applyFill="1" applyBorder="1" applyAlignment="1">
      <alignment/>
    </xf>
    <xf numFmtId="9" fontId="2" fillId="34" borderId="13" xfId="50" applyFont="1" applyFill="1" applyBorder="1" applyAlignment="1">
      <alignment horizontal="center"/>
    </xf>
    <xf numFmtId="3" fontId="1" fillId="34" borderId="13" xfId="0" applyNumberFormat="1" applyFont="1" applyFill="1" applyBorder="1" applyAlignment="1" applyProtection="1">
      <alignment/>
      <protection locked="0"/>
    </xf>
    <xf numFmtId="0" fontId="0" fillId="34" borderId="13" xfId="0" applyFill="1" applyBorder="1" applyAlignment="1">
      <alignment/>
    </xf>
    <xf numFmtId="2" fontId="0" fillId="34" borderId="13" xfId="0" applyNumberFormat="1" applyFill="1" applyBorder="1" applyAlignment="1">
      <alignment/>
    </xf>
    <xf numFmtId="3" fontId="1" fillId="34" borderId="13" xfId="0" applyNumberFormat="1" applyFont="1" applyFill="1" applyBorder="1" applyAlignment="1" applyProtection="1">
      <alignment horizontal="right"/>
      <protection/>
    </xf>
    <xf numFmtId="3" fontId="1" fillId="0" borderId="13" xfId="0" applyNumberFormat="1" applyFont="1" applyBorder="1" applyAlignment="1" applyProtection="1">
      <alignment/>
      <protection locked="0"/>
    </xf>
    <xf numFmtId="3" fontId="1" fillId="0" borderId="0" xfId="0" applyNumberFormat="1" applyFont="1" applyAlignment="1" applyProtection="1">
      <alignment/>
      <protection/>
    </xf>
    <xf numFmtId="179" fontId="1" fillId="34" borderId="0" xfId="0" applyNumberFormat="1" applyFont="1" applyFill="1" applyAlignment="1" applyProtection="1">
      <alignment/>
      <protection/>
    </xf>
    <xf numFmtId="2" fontId="1" fillId="34" borderId="13" xfId="0" applyNumberFormat="1" applyFont="1" applyFill="1" applyBorder="1" applyAlignment="1" applyProtection="1">
      <alignment/>
      <protection/>
    </xf>
    <xf numFmtId="0" fontId="22" fillId="34" borderId="0" xfId="0" applyFont="1" applyFill="1" applyAlignment="1" applyProtection="1">
      <alignment/>
      <protection/>
    </xf>
    <xf numFmtId="0" fontId="23" fillId="0" borderId="0" xfId="0" applyFont="1" applyAlignment="1">
      <alignment/>
    </xf>
    <xf numFmtId="0" fontId="1" fillId="33" borderId="17" xfId="0" applyFont="1" applyFill="1" applyBorder="1" applyAlignment="1" applyProtection="1">
      <alignment horizontal="center"/>
      <protection/>
    </xf>
    <xf numFmtId="0" fontId="1" fillId="33" borderId="18" xfId="0" applyFont="1" applyFill="1" applyBorder="1" applyAlignment="1" applyProtection="1">
      <alignment horizontal="center"/>
      <protection/>
    </xf>
    <xf numFmtId="0" fontId="1" fillId="33" borderId="19" xfId="0" applyFont="1" applyFill="1" applyBorder="1" applyAlignment="1" applyProtection="1">
      <alignment/>
      <protection/>
    </xf>
    <xf numFmtId="0" fontId="5"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4" xfId="0" applyFont="1" applyFill="1" applyBorder="1" applyAlignment="1" applyProtection="1">
      <alignment/>
      <protection/>
    </xf>
    <xf numFmtId="0" fontId="0" fillId="0" borderId="11" xfId="0" applyBorder="1" applyAlignment="1">
      <alignment/>
    </xf>
    <xf numFmtId="170" fontId="1" fillId="0" borderId="15" xfId="0" applyNumberFormat="1" applyFont="1" applyBorder="1" applyAlignment="1">
      <alignment/>
    </xf>
    <xf numFmtId="0" fontId="0" fillId="0" borderId="19" xfId="0" applyBorder="1" applyAlignment="1">
      <alignment/>
    </xf>
    <xf numFmtId="0" fontId="0" fillId="38" borderId="0" xfId="0" applyFont="1" applyFill="1" applyAlignment="1">
      <alignment horizontal="center"/>
    </xf>
    <xf numFmtId="0" fontId="2" fillId="38" borderId="0" xfId="0" applyFont="1" applyFill="1" applyAlignment="1">
      <alignment horizontal="center"/>
    </xf>
    <xf numFmtId="3" fontId="0" fillId="38" borderId="0" xfId="0" applyNumberFormat="1" applyFont="1" applyFill="1" applyAlignment="1">
      <alignment/>
    </xf>
    <xf numFmtId="3" fontId="21" fillId="38" borderId="0" xfId="0" applyNumberFormat="1" applyFont="1" applyFill="1" applyAlignment="1">
      <alignment/>
    </xf>
    <xf numFmtId="0" fontId="24" fillId="0" borderId="0" xfId="0" applyFont="1" applyAlignment="1">
      <alignment/>
    </xf>
    <xf numFmtId="0" fontId="1" fillId="37" borderId="0" xfId="0" applyFont="1" applyFill="1" applyAlignment="1" applyProtection="1">
      <alignment/>
      <protection/>
    </xf>
    <xf numFmtId="0" fontId="0" fillId="37" borderId="0" xfId="0" applyFill="1" applyAlignment="1" applyProtection="1">
      <alignment/>
      <protection/>
    </xf>
    <xf numFmtId="3" fontId="1" fillId="37" borderId="0" xfId="0" applyNumberFormat="1" applyFont="1" applyFill="1" applyAlignment="1" applyProtection="1">
      <alignment/>
      <protection/>
    </xf>
    <xf numFmtId="0" fontId="0" fillId="33" borderId="19" xfId="0" applyFill="1" applyBorder="1" applyAlignment="1" applyProtection="1">
      <alignment/>
      <protection/>
    </xf>
    <xf numFmtId="2" fontId="1" fillId="34" borderId="13" xfId="0" applyNumberFormat="1" applyFont="1" applyFill="1" applyBorder="1" applyAlignment="1" applyProtection="1">
      <alignment/>
      <protection locked="0"/>
    </xf>
    <xf numFmtId="0" fontId="0" fillId="0" borderId="13" xfId="0" applyBorder="1" applyAlignment="1">
      <alignment/>
    </xf>
    <xf numFmtId="0" fontId="0" fillId="0" borderId="20" xfId="0" applyBorder="1" applyAlignment="1">
      <alignment/>
    </xf>
    <xf numFmtId="0" fontId="2" fillId="0" borderId="16" xfId="0" applyFont="1" applyBorder="1" applyAlignment="1">
      <alignment/>
    </xf>
    <xf numFmtId="0" fontId="25" fillId="34" borderId="0" xfId="0" applyFont="1" applyFill="1" applyAlignment="1" applyProtection="1">
      <alignment/>
      <protection/>
    </xf>
    <xf numFmtId="1" fontId="1" fillId="34" borderId="13" xfId="50" applyNumberFormat="1" applyFont="1" applyFill="1" applyBorder="1" applyAlignment="1" applyProtection="1">
      <alignment/>
      <protection/>
    </xf>
    <xf numFmtId="9" fontId="1" fillId="34" borderId="13" xfId="50" applyFont="1" applyFill="1" applyBorder="1" applyAlignment="1" applyProtection="1">
      <alignment/>
      <protection/>
    </xf>
    <xf numFmtId="0" fontId="1" fillId="33" borderId="14" xfId="0" applyFont="1" applyFill="1" applyBorder="1" applyAlignment="1">
      <alignment/>
    </xf>
    <xf numFmtId="3" fontId="1" fillId="37" borderId="0" xfId="0" applyNumberFormat="1" applyFont="1" applyFill="1" applyAlignment="1" applyProtection="1">
      <alignment/>
      <protection locked="0"/>
    </xf>
    <xf numFmtId="0" fontId="1" fillId="0" borderId="0" xfId="0" applyFont="1" applyFill="1" applyBorder="1" applyAlignment="1" applyProtection="1">
      <alignment horizontal="right"/>
      <protection/>
    </xf>
    <xf numFmtId="3" fontId="6" fillId="38" borderId="25" xfId="0" applyNumberFormat="1" applyFont="1" applyFill="1" applyBorder="1" applyAlignment="1" applyProtection="1">
      <alignment/>
      <protection/>
    </xf>
    <xf numFmtId="0" fontId="0" fillId="38" borderId="13" xfId="0" applyFill="1" applyBorder="1" applyAlignment="1">
      <alignment horizontal="center"/>
    </xf>
    <xf numFmtId="3" fontId="0" fillId="38" borderId="0" xfId="0" applyNumberFormat="1" applyFill="1" applyAlignment="1">
      <alignment/>
    </xf>
    <xf numFmtId="0" fontId="1" fillId="0" borderId="13" xfId="0" applyFont="1" applyBorder="1" applyAlignment="1" applyProtection="1">
      <alignment/>
      <protection/>
    </xf>
    <xf numFmtId="2" fontId="1" fillId="0" borderId="13" xfId="0" applyNumberFormat="1" applyFont="1" applyBorder="1" applyAlignment="1" applyProtection="1">
      <alignment/>
      <protection locked="0"/>
    </xf>
    <xf numFmtId="0" fontId="1" fillId="0" borderId="13" xfId="0" applyFont="1" applyFill="1" applyBorder="1" applyAlignment="1" applyProtection="1">
      <alignment horizontal="center"/>
      <protection locked="0"/>
    </xf>
    <xf numFmtId="0" fontId="1" fillId="34" borderId="18" xfId="0" applyFont="1" applyFill="1" applyBorder="1" applyAlignment="1" applyProtection="1">
      <alignment horizontal="left"/>
      <protection/>
    </xf>
    <xf numFmtId="0" fontId="4" fillId="34" borderId="12" xfId="0" applyFont="1" applyFill="1" applyBorder="1" applyAlignment="1" applyProtection="1">
      <alignment/>
      <protection/>
    </xf>
    <xf numFmtId="0" fontId="1" fillId="34" borderId="0" xfId="0" applyFont="1" applyFill="1" applyAlignment="1">
      <alignment horizontal="right"/>
    </xf>
    <xf numFmtId="0" fontId="4" fillId="34" borderId="18" xfId="0" applyFont="1" applyFill="1" applyBorder="1" applyAlignment="1" applyProtection="1">
      <alignment/>
      <protection/>
    </xf>
    <xf numFmtId="10" fontId="1" fillId="34" borderId="0" xfId="50" applyNumberFormat="1" applyFont="1" applyFill="1" applyBorder="1" applyAlignment="1" applyProtection="1">
      <alignment/>
      <protection/>
    </xf>
    <xf numFmtId="0" fontId="0" fillId="33" borderId="0" xfId="0" applyFill="1" applyAlignment="1">
      <alignment horizontal="center"/>
    </xf>
    <xf numFmtId="0" fontId="27" fillId="0" borderId="0" xfId="0" applyFont="1" applyAlignment="1">
      <alignment horizontal="left"/>
    </xf>
    <xf numFmtId="0" fontId="17" fillId="0" borderId="0" xfId="0" applyFont="1" applyFill="1" applyBorder="1" applyAlignment="1" applyProtection="1">
      <alignment/>
      <protection locked="0"/>
    </xf>
    <xf numFmtId="0" fontId="17" fillId="0" borderId="26" xfId="0" applyFont="1" applyBorder="1" applyAlignment="1">
      <alignment/>
    </xf>
    <xf numFmtId="0" fontId="17" fillId="0" borderId="0" xfId="0" applyFont="1" applyAlignment="1">
      <alignment/>
    </xf>
    <xf numFmtId="0" fontId="17" fillId="0" borderId="20" xfId="0" applyFont="1" applyFill="1" applyBorder="1" applyAlignment="1">
      <alignment horizontal="center"/>
    </xf>
    <xf numFmtId="0" fontId="17" fillId="0" borderId="0" xfId="0" applyFont="1" applyFill="1" applyBorder="1" applyAlignment="1">
      <alignment/>
    </xf>
    <xf numFmtId="173" fontId="0" fillId="37" borderId="0" xfId="0" applyNumberFormat="1" applyFill="1" applyAlignment="1">
      <alignment/>
    </xf>
    <xf numFmtId="0" fontId="18" fillId="0" borderId="13" xfId="0" applyFont="1" applyBorder="1" applyAlignment="1">
      <alignment horizontal="center"/>
    </xf>
    <xf numFmtId="167" fontId="17" fillId="0" borderId="0" xfId="0" applyNumberFormat="1" applyFont="1" applyAlignment="1">
      <alignment/>
    </xf>
    <xf numFmtId="14" fontId="17" fillId="0" borderId="0" xfId="0" applyNumberFormat="1" applyFont="1" applyAlignment="1">
      <alignment/>
    </xf>
    <xf numFmtId="0" fontId="0" fillId="0" borderId="27" xfId="0" applyBorder="1" applyAlignment="1">
      <alignment horizontal="center"/>
    </xf>
    <xf numFmtId="0" fontId="1" fillId="0" borderId="20" xfId="0" applyFont="1" applyBorder="1" applyAlignment="1">
      <alignment horizontal="left"/>
    </xf>
    <xf numFmtId="1" fontId="17" fillId="0" borderId="0" xfId="0" applyNumberFormat="1" applyFont="1" applyAlignment="1">
      <alignment horizontal="center"/>
    </xf>
    <xf numFmtId="180" fontId="0" fillId="0" borderId="0" xfId="0" applyNumberFormat="1" applyAlignment="1">
      <alignment/>
    </xf>
    <xf numFmtId="181" fontId="17" fillId="0" borderId="0" xfId="0" applyNumberFormat="1" applyFont="1" applyAlignment="1">
      <alignment/>
    </xf>
    <xf numFmtId="14" fontId="0" fillId="0" borderId="13" xfId="0" applyNumberFormat="1" applyFill="1" applyBorder="1" applyAlignment="1">
      <alignment/>
    </xf>
    <xf numFmtId="180" fontId="0" fillId="0" borderId="0" xfId="0" applyNumberFormat="1" applyAlignment="1">
      <alignment horizontal="center"/>
    </xf>
    <xf numFmtId="3" fontId="0" fillId="37" borderId="0" xfId="0" applyNumberFormat="1" applyFill="1" applyAlignment="1">
      <alignment/>
    </xf>
    <xf numFmtId="13" fontId="0" fillId="0" borderId="0" xfId="0" applyNumberFormat="1" applyAlignment="1">
      <alignment horizontal="center"/>
    </xf>
    <xf numFmtId="0" fontId="0" fillId="0" borderId="0" xfId="0" applyFill="1" applyBorder="1" applyAlignment="1" applyProtection="1">
      <alignment/>
      <protection locked="0"/>
    </xf>
    <xf numFmtId="0" fontId="0" fillId="0" borderId="0" xfId="0" applyFill="1" applyBorder="1" applyAlignment="1" applyProtection="1">
      <alignment/>
      <protection/>
    </xf>
    <xf numFmtId="0" fontId="0" fillId="37" borderId="0" xfId="0" applyFill="1" applyBorder="1" applyAlignment="1">
      <alignment/>
    </xf>
    <xf numFmtId="14" fontId="0" fillId="37" borderId="0" xfId="0" applyNumberFormat="1" applyFill="1" applyBorder="1" applyAlignment="1">
      <alignment/>
    </xf>
    <xf numFmtId="9" fontId="0" fillId="0" borderId="0" xfId="50" applyFont="1" applyAlignment="1">
      <alignment/>
    </xf>
    <xf numFmtId="167" fontId="0" fillId="0" borderId="0" xfId="0" applyNumberFormat="1" applyAlignment="1">
      <alignment/>
    </xf>
    <xf numFmtId="14" fontId="0" fillId="0" borderId="0" xfId="0" applyNumberFormat="1" applyAlignment="1">
      <alignment/>
    </xf>
    <xf numFmtId="0" fontId="0" fillId="0" borderId="28" xfId="0" applyBorder="1" applyAlignment="1">
      <alignment/>
    </xf>
    <xf numFmtId="0" fontId="0" fillId="0" borderId="10" xfId="0" applyBorder="1" applyAlignment="1">
      <alignment/>
    </xf>
    <xf numFmtId="0" fontId="0" fillId="0" borderId="17" xfId="0" applyBorder="1" applyAlignment="1">
      <alignment/>
    </xf>
    <xf numFmtId="182" fontId="0" fillId="0" borderId="0" xfId="0" applyNumberFormat="1" applyAlignment="1">
      <alignment/>
    </xf>
    <xf numFmtId="13" fontId="0" fillId="0" borderId="0" xfId="0" applyNumberFormat="1" applyAlignment="1">
      <alignment horizontal="right"/>
    </xf>
    <xf numFmtId="13" fontId="0" fillId="0" borderId="0" xfId="0" applyNumberFormat="1" applyAlignment="1">
      <alignment/>
    </xf>
    <xf numFmtId="182" fontId="0" fillId="0" borderId="11" xfId="0" applyNumberFormat="1" applyBorder="1" applyAlignment="1">
      <alignment/>
    </xf>
    <xf numFmtId="13" fontId="0" fillId="0" borderId="14" xfId="0" applyNumberFormat="1" applyBorder="1" applyAlignment="1">
      <alignment/>
    </xf>
    <xf numFmtId="182" fontId="0" fillId="0" borderId="18" xfId="0" applyNumberFormat="1" applyBorder="1" applyAlignment="1">
      <alignment/>
    </xf>
    <xf numFmtId="13" fontId="0" fillId="0" borderId="19" xfId="0" applyNumberFormat="1" applyBorder="1" applyAlignment="1">
      <alignment/>
    </xf>
    <xf numFmtId="0" fontId="0" fillId="0" borderId="28" xfId="0" applyBorder="1" applyAlignment="1">
      <alignment horizontal="center"/>
    </xf>
    <xf numFmtId="2" fontId="0" fillId="0" borderId="0" xfId="0" applyNumberFormat="1" applyAlignment="1">
      <alignment/>
    </xf>
    <xf numFmtId="0" fontId="24" fillId="34" borderId="0" xfId="0" applyFont="1" applyFill="1" applyAlignment="1" applyProtection="1">
      <alignment/>
      <protection/>
    </xf>
    <xf numFmtId="0" fontId="0" fillId="34" borderId="0" xfId="0" applyFill="1" applyAlignment="1" applyProtection="1">
      <alignment/>
      <protection/>
    </xf>
    <xf numFmtId="0" fontId="0" fillId="0" borderId="0" xfId="0" applyAlignment="1" applyProtection="1">
      <alignment/>
      <protection/>
    </xf>
    <xf numFmtId="0" fontId="0" fillId="34" borderId="0" xfId="0" applyFont="1" applyFill="1" applyAlignment="1" applyProtection="1">
      <alignment/>
      <protection/>
    </xf>
    <xf numFmtId="0" fontId="2" fillId="34" borderId="0" xfId="0" applyFont="1" applyFill="1" applyAlignment="1" applyProtection="1">
      <alignment/>
      <protection/>
    </xf>
    <xf numFmtId="3" fontId="0" fillId="34" borderId="13" xfId="0" applyNumberFormat="1" applyFont="1" applyFill="1" applyBorder="1" applyAlignment="1" applyProtection="1">
      <alignment/>
      <protection/>
    </xf>
    <xf numFmtId="9" fontId="0" fillId="34" borderId="0" xfId="0" applyNumberFormat="1" applyFont="1" applyFill="1" applyAlignment="1" applyProtection="1">
      <alignment/>
      <protection/>
    </xf>
    <xf numFmtId="0" fontId="0" fillId="0" borderId="0" xfId="0" applyFont="1" applyAlignment="1" applyProtection="1">
      <alignment/>
      <protection/>
    </xf>
    <xf numFmtId="3" fontId="0" fillId="34" borderId="13" xfId="0" applyNumberFormat="1" applyFill="1" applyBorder="1" applyAlignment="1" applyProtection="1">
      <alignment/>
      <protection/>
    </xf>
    <xf numFmtId="12" fontId="0" fillId="35" borderId="13" xfId="0" applyNumberFormat="1" applyFill="1" applyBorder="1" applyAlignment="1" applyProtection="1">
      <alignment horizontal="center"/>
      <protection locked="0"/>
    </xf>
    <xf numFmtId="3" fontId="2" fillId="34" borderId="0" xfId="0" applyNumberFormat="1" applyFont="1" applyFill="1" applyAlignment="1" applyProtection="1">
      <alignment horizontal="left"/>
      <protection/>
    </xf>
    <xf numFmtId="3" fontId="0" fillId="34" borderId="0" xfId="0" applyNumberFormat="1" applyFill="1" applyAlignment="1" applyProtection="1">
      <alignment horizontal="left"/>
      <protection/>
    </xf>
    <xf numFmtId="0" fontId="0" fillId="34" borderId="0" xfId="0" applyFill="1" applyAlignment="1" applyProtection="1">
      <alignment horizontal="right"/>
      <protection/>
    </xf>
    <xf numFmtId="0" fontId="27" fillId="34" borderId="0" xfId="0" applyFont="1" applyFill="1" applyAlignment="1">
      <alignment/>
    </xf>
    <xf numFmtId="0" fontId="17" fillId="34" borderId="0" xfId="0" applyFont="1" applyFill="1" applyAlignment="1">
      <alignment/>
    </xf>
    <xf numFmtId="0" fontId="17" fillId="34" borderId="0" xfId="0" applyFont="1" applyFill="1" applyAlignment="1">
      <alignment horizontal="center"/>
    </xf>
    <xf numFmtId="0" fontId="17" fillId="0" borderId="0" xfId="0" applyFont="1" applyAlignment="1">
      <alignment/>
    </xf>
    <xf numFmtId="0" fontId="17" fillId="34" borderId="0" xfId="0" applyFont="1" applyFill="1" applyBorder="1" applyAlignment="1">
      <alignment/>
    </xf>
    <xf numFmtId="0" fontId="17" fillId="35" borderId="13" xfId="0" applyFont="1" applyFill="1" applyBorder="1" applyAlignment="1" applyProtection="1">
      <alignment horizontal="center"/>
      <protection locked="0"/>
    </xf>
    <xf numFmtId="0" fontId="17" fillId="34" borderId="13" xfId="0" applyFont="1" applyFill="1" applyBorder="1" applyAlignment="1">
      <alignment horizontal="center"/>
    </xf>
    <xf numFmtId="0" fontId="1" fillId="34" borderId="0" xfId="0" applyFont="1" applyFill="1" applyAlignment="1">
      <alignment/>
    </xf>
    <xf numFmtId="0" fontId="17" fillId="34" borderId="22" xfId="0" applyFont="1" applyFill="1" applyBorder="1" applyAlignment="1">
      <alignment/>
    </xf>
    <xf numFmtId="0" fontId="17" fillId="34" borderId="23" xfId="0" applyFont="1" applyFill="1" applyBorder="1" applyAlignment="1">
      <alignment/>
    </xf>
    <xf numFmtId="0" fontId="17" fillId="34" borderId="24" xfId="0" applyFont="1" applyFill="1" applyBorder="1" applyAlignment="1">
      <alignment/>
    </xf>
    <xf numFmtId="0" fontId="1" fillId="34" borderId="0" xfId="0" applyFont="1" applyFill="1" applyAlignment="1">
      <alignment horizontal="center"/>
    </xf>
    <xf numFmtId="14" fontId="1" fillId="34" borderId="13" xfId="0" applyNumberFormat="1" applyFont="1" applyFill="1" applyBorder="1" applyAlignment="1">
      <alignment/>
    </xf>
    <xf numFmtId="185" fontId="1" fillId="34" borderId="0" xfId="0" applyNumberFormat="1" applyFont="1" applyFill="1" applyAlignment="1">
      <alignment horizontal="center"/>
    </xf>
    <xf numFmtId="3" fontId="17" fillId="34" borderId="13" xfId="0" applyNumberFormat="1" applyFont="1" applyFill="1" applyBorder="1" applyAlignment="1">
      <alignment/>
    </xf>
    <xf numFmtId="174" fontId="17" fillId="34" borderId="22" xfId="0" applyNumberFormat="1" applyFont="1" applyFill="1" applyBorder="1" applyAlignment="1">
      <alignment horizontal="center"/>
    </xf>
    <xf numFmtId="3" fontId="17" fillId="37" borderId="13" xfId="0" applyNumberFormat="1" applyFont="1" applyFill="1" applyBorder="1" applyAlignment="1">
      <alignment/>
    </xf>
    <xf numFmtId="3" fontId="17" fillId="34" borderId="22" xfId="0" applyNumberFormat="1" applyFont="1" applyFill="1" applyBorder="1" applyAlignment="1">
      <alignment/>
    </xf>
    <xf numFmtId="166" fontId="17" fillId="34" borderId="13" xfId="50" applyNumberFormat="1" applyFont="1" applyFill="1" applyBorder="1" applyAlignment="1">
      <alignment/>
    </xf>
    <xf numFmtId="3" fontId="17" fillId="37" borderId="24" xfId="0" applyNumberFormat="1" applyFont="1" applyFill="1" applyBorder="1" applyAlignment="1">
      <alignment/>
    </xf>
    <xf numFmtId="3" fontId="18" fillId="33" borderId="16" xfId="0" applyNumberFormat="1" applyFont="1" applyFill="1" applyBorder="1" applyAlignment="1">
      <alignment/>
    </xf>
    <xf numFmtId="186" fontId="1" fillId="34" borderId="0" xfId="0" applyNumberFormat="1" applyFont="1" applyFill="1" applyAlignment="1">
      <alignment/>
    </xf>
    <xf numFmtId="185" fontId="17" fillId="34" borderId="0" xfId="0" applyNumberFormat="1" applyFont="1" applyFill="1" applyAlignment="1">
      <alignment horizontal="center"/>
    </xf>
    <xf numFmtId="174" fontId="17" fillId="34" borderId="13" xfId="0" applyNumberFormat="1" applyFont="1" applyFill="1" applyBorder="1" applyAlignment="1">
      <alignment horizontal="center"/>
    </xf>
    <xf numFmtId="0" fontId="1" fillId="34" borderId="12" xfId="0" applyFont="1" applyFill="1" applyBorder="1" applyAlignment="1">
      <alignment/>
    </xf>
    <xf numFmtId="14" fontId="1" fillId="34" borderId="0" xfId="0" applyNumberFormat="1" applyFont="1" applyFill="1" applyAlignment="1">
      <alignment/>
    </xf>
    <xf numFmtId="0" fontId="17" fillId="34" borderId="0" xfId="0" applyFont="1" applyFill="1" applyAlignment="1">
      <alignment horizontal="right"/>
    </xf>
    <xf numFmtId="0" fontId="17" fillId="39" borderId="0" xfId="0" applyFont="1" applyFill="1" applyAlignment="1" applyProtection="1">
      <alignment/>
      <protection/>
    </xf>
    <xf numFmtId="0" fontId="18" fillId="39" borderId="0" xfId="0" applyFont="1" applyFill="1" applyAlignment="1" applyProtection="1">
      <alignment/>
      <protection/>
    </xf>
    <xf numFmtId="0" fontId="17" fillId="0" borderId="0" xfId="0" applyFont="1" applyFill="1" applyAlignment="1" applyProtection="1">
      <alignment/>
      <protection/>
    </xf>
    <xf numFmtId="0" fontId="28" fillId="39" borderId="0" xfId="0" applyFont="1" applyFill="1" applyBorder="1" applyAlignment="1" applyProtection="1">
      <alignment horizontal="center"/>
      <protection/>
    </xf>
    <xf numFmtId="0" fontId="1" fillId="39" borderId="0" xfId="0" applyFont="1" applyFill="1" applyAlignment="1" applyProtection="1">
      <alignment/>
      <protection/>
    </xf>
    <xf numFmtId="14" fontId="1" fillId="34" borderId="13" xfId="0" applyNumberFormat="1" applyFont="1" applyFill="1" applyBorder="1" applyAlignment="1" applyProtection="1">
      <alignment/>
      <protection/>
    </xf>
    <xf numFmtId="176" fontId="17" fillId="35" borderId="13" xfId="0" applyNumberFormat="1" applyFont="1" applyFill="1" applyBorder="1" applyAlignment="1" applyProtection="1">
      <alignment horizontal="center"/>
      <protection locked="0"/>
    </xf>
    <xf numFmtId="0" fontId="17" fillId="39" borderId="0" xfId="0" applyFont="1" applyFill="1" applyAlignment="1">
      <alignment/>
    </xf>
    <xf numFmtId="0" fontId="1" fillId="39" borderId="0" xfId="0" applyFont="1" applyFill="1" applyAlignment="1" applyProtection="1">
      <alignment horizontal="center"/>
      <protection/>
    </xf>
    <xf numFmtId="0" fontId="1" fillId="39" borderId="0" xfId="0" applyFont="1" applyFill="1" applyAlignment="1">
      <alignment horizontal="left"/>
    </xf>
    <xf numFmtId="0" fontId="28" fillId="39" borderId="0" xfId="0" applyFont="1" applyFill="1" applyAlignment="1" applyProtection="1">
      <alignment/>
      <protection/>
    </xf>
    <xf numFmtId="0" fontId="28" fillId="39" borderId="0" xfId="0" applyFont="1" applyFill="1" applyAlignment="1" applyProtection="1">
      <alignment/>
      <protection/>
    </xf>
    <xf numFmtId="0" fontId="18" fillId="39" borderId="0" xfId="0" applyFont="1" applyFill="1" applyAlignment="1" applyProtection="1">
      <alignment/>
      <protection/>
    </xf>
    <xf numFmtId="0" fontId="17" fillId="39" borderId="0" xfId="0" applyFont="1" applyFill="1" applyBorder="1" applyAlignment="1" applyProtection="1">
      <alignment horizontal="center"/>
      <protection/>
    </xf>
    <xf numFmtId="0" fontId="17" fillId="39" borderId="0" xfId="0" applyFont="1" applyFill="1" applyBorder="1" applyAlignment="1" applyProtection="1">
      <alignment/>
      <protection/>
    </xf>
    <xf numFmtId="0" fontId="17" fillId="39" borderId="0" xfId="0" applyFont="1" applyFill="1" applyBorder="1" applyAlignment="1" applyProtection="1">
      <alignment horizontal="center"/>
      <protection/>
    </xf>
    <xf numFmtId="187" fontId="17" fillId="0" borderId="0" xfId="0" applyNumberFormat="1" applyFont="1" applyAlignment="1">
      <alignment/>
    </xf>
    <xf numFmtId="178" fontId="17" fillId="0" borderId="0" xfId="0" applyNumberFormat="1" applyFont="1" applyBorder="1" applyAlignment="1">
      <alignment/>
    </xf>
    <xf numFmtId="178" fontId="17" fillId="0" borderId="0" xfId="0" applyNumberFormat="1" applyFont="1" applyAlignment="1">
      <alignment/>
    </xf>
    <xf numFmtId="0" fontId="17" fillId="39" borderId="0" xfId="0" applyFont="1" applyFill="1" applyBorder="1" applyAlignment="1" applyProtection="1">
      <alignment horizontal="left"/>
      <protection/>
    </xf>
    <xf numFmtId="0" fontId="1" fillId="39" borderId="0" xfId="0" applyFont="1" applyFill="1" applyBorder="1" applyAlignment="1" applyProtection="1">
      <alignment/>
      <protection/>
    </xf>
    <xf numFmtId="0" fontId="17" fillId="0" borderId="0" xfId="0" applyFont="1" applyBorder="1" applyAlignment="1">
      <alignment/>
    </xf>
    <xf numFmtId="0" fontId="17" fillId="0" borderId="0" xfId="0" applyFont="1" applyAlignment="1">
      <alignment horizontal="center"/>
    </xf>
    <xf numFmtId="10" fontId="17" fillId="39" borderId="0" xfId="0" applyNumberFormat="1" applyFont="1" applyFill="1" applyBorder="1" applyAlignment="1" applyProtection="1">
      <alignment/>
      <protection/>
    </xf>
    <xf numFmtId="0" fontId="17" fillId="0" borderId="0" xfId="0" applyFont="1" applyFill="1" applyBorder="1" applyAlignment="1" applyProtection="1">
      <alignment/>
      <protection/>
    </xf>
    <xf numFmtId="188" fontId="1" fillId="39" borderId="0" xfId="0" applyNumberFormat="1" applyFont="1" applyFill="1" applyBorder="1" applyAlignment="1" applyProtection="1">
      <alignment horizontal="right"/>
      <protection/>
    </xf>
    <xf numFmtId="189" fontId="1" fillId="39" borderId="0" xfId="0" applyNumberFormat="1" applyFont="1" applyFill="1" applyBorder="1" applyAlignment="1" applyProtection="1">
      <alignment horizontal="left"/>
      <protection/>
    </xf>
    <xf numFmtId="190" fontId="1" fillId="39" borderId="0" xfId="0" applyNumberFormat="1" applyFont="1" applyFill="1" applyBorder="1" applyAlignment="1" applyProtection="1">
      <alignment horizontal="left"/>
      <protection/>
    </xf>
    <xf numFmtId="0" fontId="1" fillId="39" borderId="0" xfId="0" applyFont="1" applyFill="1" applyAlignment="1" applyProtection="1">
      <alignment horizontal="right"/>
      <protection/>
    </xf>
    <xf numFmtId="0" fontId="17" fillId="0" borderId="0" xfId="0" applyFont="1" applyFill="1" applyAlignment="1">
      <alignment/>
    </xf>
    <xf numFmtId="0" fontId="0" fillId="34" borderId="0" xfId="0" applyFill="1" applyAlignment="1" applyProtection="1">
      <alignment horizontal="center"/>
      <protection/>
    </xf>
    <xf numFmtId="0" fontId="0" fillId="35" borderId="13" xfId="0" applyFill="1" applyBorder="1" applyAlignment="1" applyProtection="1">
      <alignment/>
      <protection locked="0"/>
    </xf>
    <xf numFmtId="2" fontId="17" fillId="34" borderId="13" xfId="0" applyNumberFormat="1" applyFont="1" applyFill="1" applyBorder="1" applyAlignment="1">
      <alignment horizontal="center"/>
    </xf>
    <xf numFmtId="0" fontId="17" fillId="34" borderId="0" xfId="0" applyFont="1" applyFill="1" applyBorder="1" applyAlignment="1">
      <alignment horizontal="center"/>
    </xf>
    <xf numFmtId="3" fontId="18" fillId="34" borderId="0" xfId="0" applyNumberFormat="1" applyFont="1" applyFill="1" applyBorder="1" applyAlignment="1">
      <alignment/>
    </xf>
    <xf numFmtId="3" fontId="18" fillId="33" borderId="13" xfId="0" applyNumberFormat="1" applyFont="1" applyFill="1" applyBorder="1" applyAlignment="1">
      <alignment/>
    </xf>
    <xf numFmtId="0" fontId="5" fillId="33" borderId="12" xfId="0" applyFont="1" applyFill="1" applyBorder="1" applyAlignment="1" applyProtection="1">
      <alignment/>
      <protection/>
    </xf>
    <xf numFmtId="0" fontId="2" fillId="33" borderId="0" xfId="0" applyFont="1" applyFill="1" applyBorder="1" applyAlignment="1" applyProtection="1">
      <alignment/>
      <protection/>
    </xf>
    <xf numFmtId="0" fontId="2" fillId="33" borderId="0" xfId="0" applyFont="1" applyFill="1" applyBorder="1" applyAlignment="1">
      <alignment/>
    </xf>
    <xf numFmtId="174" fontId="1" fillId="37" borderId="13" xfId="0" applyNumberFormat="1" applyFont="1" applyFill="1" applyBorder="1" applyAlignment="1" applyProtection="1">
      <alignment horizontal="center"/>
      <protection locked="0"/>
    </xf>
    <xf numFmtId="0" fontId="24" fillId="34" borderId="0" xfId="0" applyFont="1" applyFill="1" applyAlignment="1">
      <alignment/>
    </xf>
    <xf numFmtId="0" fontId="0" fillId="34" borderId="0" xfId="0" applyFont="1" applyFill="1" applyAlignment="1">
      <alignment/>
    </xf>
    <xf numFmtId="167" fontId="17" fillId="37" borderId="0" xfId="0" applyNumberFormat="1" applyFont="1" applyFill="1" applyAlignment="1">
      <alignment/>
    </xf>
    <xf numFmtId="10" fontId="1" fillId="34" borderId="0" xfId="0" applyNumberFormat="1" applyFont="1" applyFill="1" applyBorder="1" applyAlignment="1" applyProtection="1">
      <alignment horizontal="left"/>
      <protection/>
    </xf>
    <xf numFmtId="0" fontId="1" fillId="34" borderId="17" xfId="0" applyFont="1" applyFill="1" applyBorder="1" applyAlignment="1" applyProtection="1">
      <alignment horizontal="left"/>
      <protection/>
    </xf>
    <xf numFmtId="0" fontId="1" fillId="34" borderId="22" xfId="0" applyFont="1" applyFill="1" applyBorder="1" applyAlignment="1" applyProtection="1">
      <alignment/>
      <protection/>
    </xf>
    <xf numFmtId="3" fontId="6" fillId="34" borderId="16" xfId="0" applyNumberFormat="1" applyFont="1" applyFill="1" applyBorder="1" applyAlignment="1" applyProtection="1">
      <alignment/>
      <protection/>
    </xf>
    <xf numFmtId="9" fontId="0" fillId="34" borderId="0" xfId="0" applyNumberFormat="1" applyFill="1" applyAlignment="1">
      <alignment/>
    </xf>
    <xf numFmtId="3" fontId="17" fillId="35" borderId="13" xfId="0" applyNumberFormat="1" applyFont="1" applyFill="1" applyBorder="1" applyAlignment="1" applyProtection="1">
      <alignment/>
      <protection locked="0"/>
    </xf>
    <xf numFmtId="0" fontId="17" fillId="0" borderId="0" xfId="0" applyFont="1" applyFill="1" applyAlignment="1">
      <alignment/>
    </xf>
    <xf numFmtId="0" fontId="1" fillId="0" borderId="13" xfId="0" applyFont="1" applyBorder="1" applyAlignment="1" applyProtection="1">
      <alignment/>
      <protection locked="0"/>
    </xf>
    <xf numFmtId="0" fontId="1" fillId="39" borderId="0" xfId="0" applyFont="1" applyFill="1" applyAlignment="1" applyProtection="1">
      <alignment horizontal="center"/>
      <protection/>
    </xf>
    <xf numFmtId="0" fontId="1" fillId="0" borderId="0" xfId="0" applyFont="1" applyAlignment="1" applyProtection="1">
      <alignment horizontal="center"/>
      <protection/>
    </xf>
    <xf numFmtId="3" fontId="1" fillId="34" borderId="0" xfId="0" applyNumberFormat="1" applyFont="1" applyFill="1" applyAlignment="1" applyProtection="1">
      <alignment/>
      <protection/>
    </xf>
    <xf numFmtId="0" fontId="1" fillId="0" borderId="0" xfId="0" applyFont="1" applyAlignment="1" applyProtection="1">
      <alignment horizontal="left"/>
      <protection/>
    </xf>
    <xf numFmtId="0" fontId="31" fillId="34" borderId="0" xfId="0" applyFont="1" applyFill="1" applyAlignment="1" applyProtection="1">
      <alignment/>
      <protection/>
    </xf>
    <xf numFmtId="10" fontId="1" fillId="34" borderId="10" xfId="0" applyNumberFormat="1" applyFont="1" applyFill="1" applyBorder="1" applyAlignment="1">
      <alignment/>
    </xf>
    <xf numFmtId="10" fontId="1" fillId="34" borderId="17" xfId="0" applyNumberFormat="1" applyFont="1" applyFill="1" applyBorder="1" applyAlignment="1">
      <alignment/>
    </xf>
    <xf numFmtId="0" fontId="0" fillId="33" borderId="17" xfId="0" applyFill="1" applyBorder="1" applyAlignment="1">
      <alignment/>
    </xf>
    <xf numFmtId="0" fontId="0" fillId="33" borderId="19" xfId="0" applyFill="1" applyBorder="1" applyAlignment="1">
      <alignment/>
    </xf>
    <xf numFmtId="0" fontId="1" fillId="33" borderId="15"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0" fontId="23" fillId="0" borderId="0" xfId="0" applyFont="1" applyAlignment="1">
      <alignment/>
    </xf>
    <xf numFmtId="0" fontId="31" fillId="34" borderId="0" xfId="0" applyFont="1" applyFill="1" applyAlignment="1">
      <alignment/>
    </xf>
    <xf numFmtId="0" fontId="1" fillId="0" borderId="22" xfId="0" applyFont="1" applyBorder="1" applyAlignment="1" applyProtection="1">
      <alignment/>
      <protection/>
    </xf>
    <xf numFmtId="0" fontId="1" fillId="0" borderId="0" xfId="0" applyFont="1" applyFill="1" applyBorder="1" applyAlignment="1" applyProtection="1">
      <alignment horizontal="center"/>
      <protection/>
    </xf>
    <xf numFmtId="14" fontId="1" fillId="0" borderId="0" xfId="0" applyNumberFormat="1" applyFont="1" applyFill="1" applyBorder="1" applyAlignment="1" applyProtection="1">
      <alignment horizontal="center"/>
      <protection/>
    </xf>
    <xf numFmtId="0" fontId="2" fillId="34" borderId="26" xfId="0" applyFont="1" applyFill="1" applyBorder="1" applyAlignment="1">
      <alignment horizontal="center"/>
    </xf>
    <xf numFmtId="0" fontId="0" fillId="0" borderId="0" xfId="0" applyAlignment="1">
      <alignment horizontal="right"/>
    </xf>
    <xf numFmtId="0" fontId="0" fillId="37" borderId="0" xfId="0" applyFill="1" applyAlignment="1">
      <alignment/>
    </xf>
    <xf numFmtId="3" fontId="0" fillId="37" borderId="0" xfId="0" applyNumberFormat="1" applyFill="1" applyAlignment="1">
      <alignment horizontal="right"/>
    </xf>
    <xf numFmtId="1" fontId="0" fillId="37" borderId="0" xfId="0" applyNumberFormat="1" applyFill="1" applyAlignment="1">
      <alignment horizontal="left"/>
    </xf>
    <xf numFmtId="9" fontId="0" fillId="37" borderId="0" xfId="50" applyFont="1" applyFill="1" applyAlignment="1">
      <alignment/>
    </xf>
    <xf numFmtId="0" fontId="0" fillId="37" borderId="16" xfId="0" applyFill="1" applyBorder="1" applyAlignment="1">
      <alignment/>
    </xf>
    <xf numFmtId="1" fontId="0" fillId="38" borderId="0" xfId="0" applyNumberFormat="1" applyFill="1" applyAlignment="1">
      <alignment horizontal="left"/>
    </xf>
    <xf numFmtId="0" fontId="0" fillId="38" borderId="16" xfId="0" applyFill="1" applyBorder="1" applyAlignment="1">
      <alignment/>
    </xf>
    <xf numFmtId="9" fontId="0" fillId="34" borderId="22" xfId="0" applyNumberFormat="1" applyFill="1" applyBorder="1" applyAlignment="1">
      <alignment/>
    </xf>
    <xf numFmtId="0" fontId="2" fillId="0" borderId="0" xfId="0" applyFont="1" applyFill="1" applyAlignment="1">
      <alignment/>
    </xf>
    <xf numFmtId="9" fontId="0" fillId="0" borderId="0" xfId="50" applyFont="1" applyFill="1" applyBorder="1" applyAlignment="1">
      <alignment/>
    </xf>
    <xf numFmtId="3" fontId="0" fillId="0" borderId="0" xfId="0" applyNumberFormat="1" applyFill="1" applyBorder="1" applyAlignment="1">
      <alignment/>
    </xf>
    <xf numFmtId="0" fontId="0" fillId="34" borderId="0" xfId="0" applyFill="1" applyBorder="1" applyAlignment="1" applyProtection="1">
      <alignment/>
      <protection/>
    </xf>
    <xf numFmtId="0" fontId="0" fillId="0" borderId="0" xfId="0" applyFill="1" applyAlignment="1" applyProtection="1">
      <alignment/>
      <protection/>
    </xf>
    <xf numFmtId="0" fontId="1" fillId="40" borderId="0" xfId="0" applyFont="1" applyFill="1" applyAlignment="1" applyProtection="1">
      <alignment horizontal="center"/>
      <protection/>
    </xf>
    <xf numFmtId="0" fontId="1" fillId="41" borderId="0" xfId="0" applyFont="1" applyFill="1" applyAlignment="1" applyProtection="1">
      <alignment horizontal="center"/>
      <protection/>
    </xf>
    <xf numFmtId="9" fontId="0" fillId="34" borderId="13" xfId="0" applyNumberFormat="1" applyFill="1" applyBorder="1" applyAlignment="1" applyProtection="1">
      <alignment/>
      <protection/>
    </xf>
    <xf numFmtId="0" fontId="0" fillId="34" borderId="0" xfId="0" applyFill="1" applyBorder="1" applyAlignment="1" applyProtection="1">
      <alignment horizontal="center"/>
      <protection/>
    </xf>
    <xf numFmtId="3" fontId="0" fillId="34" borderId="24" xfId="0" applyNumberFormat="1" applyFill="1" applyBorder="1" applyAlignment="1" applyProtection="1">
      <alignment horizontal="center"/>
      <protection/>
    </xf>
    <xf numFmtId="0" fontId="0" fillId="34" borderId="13" xfId="0" applyFill="1" applyBorder="1" applyAlignment="1" applyProtection="1">
      <alignment horizontal="center"/>
      <protection/>
    </xf>
    <xf numFmtId="3" fontId="1" fillId="40" borderId="15" xfId="0" applyNumberFormat="1" applyFont="1" applyFill="1" applyBorder="1" applyAlignment="1" applyProtection="1">
      <alignment horizontal="center"/>
      <protection/>
    </xf>
    <xf numFmtId="0" fontId="22" fillId="40" borderId="0" xfId="0" applyFont="1" applyFill="1" applyAlignment="1" applyProtection="1">
      <alignment horizontal="center"/>
      <protection/>
    </xf>
    <xf numFmtId="3" fontId="1" fillId="41" borderId="0" xfId="0" applyNumberFormat="1" applyFont="1" applyFill="1" applyAlignment="1" applyProtection="1">
      <alignment/>
      <protection/>
    </xf>
    <xf numFmtId="3" fontId="0" fillId="41" borderId="0" xfId="0" applyNumberFormat="1" applyFill="1" applyAlignment="1" applyProtection="1">
      <alignment/>
      <protection/>
    </xf>
    <xf numFmtId="170" fontId="1" fillId="40" borderId="0" xfId="0" applyNumberFormat="1" applyFont="1" applyFill="1" applyAlignment="1" applyProtection="1">
      <alignment horizontal="center"/>
      <protection/>
    </xf>
    <xf numFmtId="0" fontId="2" fillId="34" borderId="0" xfId="0" applyFont="1" applyFill="1" applyAlignment="1" applyProtection="1">
      <alignment horizontal="center"/>
      <protection/>
    </xf>
    <xf numFmtId="0" fontId="0" fillId="0" borderId="0" xfId="0" applyAlignment="1" applyProtection="1">
      <alignment horizontal="center"/>
      <protection/>
    </xf>
    <xf numFmtId="0" fontId="12" fillId="34" borderId="18" xfId="0" applyFont="1" applyFill="1" applyBorder="1" applyAlignment="1" applyProtection="1">
      <alignment horizontal="center"/>
      <protection/>
    </xf>
    <xf numFmtId="0" fontId="12" fillId="34" borderId="18" xfId="0" applyFont="1" applyFill="1" applyBorder="1" applyAlignment="1" applyProtection="1">
      <alignment/>
      <protection/>
    </xf>
    <xf numFmtId="0" fontId="2" fillId="34" borderId="0" xfId="0" applyFont="1" applyFill="1" applyBorder="1" applyAlignment="1" applyProtection="1">
      <alignment horizontal="center"/>
      <protection/>
    </xf>
    <xf numFmtId="3" fontId="2" fillId="40" borderId="13" xfId="0" applyNumberFormat="1" applyFont="1" applyFill="1" applyBorder="1" applyAlignment="1" applyProtection="1">
      <alignment/>
      <protection/>
    </xf>
    <xf numFmtId="3" fontId="0" fillId="0" borderId="0" xfId="0" applyNumberFormat="1" applyFill="1" applyAlignment="1" applyProtection="1">
      <alignment/>
      <protection/>
    </xf>
    <xf numFmtId="9" fontId="0" fillId="34" borderId="0" xfId="0" applyNumberFormat="1" applyFill="1" applyAlignment="1" applyProtection="1">
      <alignment/>
      <protection/>
    </xf>
    <xf numFmtId="9" fontId="0" fillId="34" borderId="0" xfId="50" applyFont="1" applyFill="1" applyAlignment="1" applyProtection="1">
      <alignment horizontal="center"/>
      <protection/>
    </xf>
    <xf numFmtId="9" fontId="0" fillId="0" borderId="0" xfId="50" applyFont="1" applyAlignment="1" applyProtection="1">
      <alignment/>
      <protection/>
    </xf>
    <xf numFmtId="3" fontId="22" fillId="40" borderId="0" xfId="0" applyNumberFormat="1" applyFont="1" applyFill="1" applyAlignment="1" applyProtection="1">
      <alignment horizontal="center"/>
      <protection/>
    </xf>
    <xf numFmtId="3" fontId="1" fillId="40" borderId="0" xfId="0" applyNumberFormat="1" applyFont="1" applyFill="1" applyAlignment="1" applyProtection="1">
      <alignment horizontal="center"/>
      <protection/>
    </xf>
    <xf numFmtId="0" fontId="0" fillId="40" borderId="13" xfId="0" applyFont="1" applyFill="1" applyBorder="1" applyAlignment="1" applyProtection="1">
      <alignment horizontal="center"/>
      <protection/>
    </xf>
    <xf numFmtId="9" fontId="0" fillId="40" borderId="13" xfId="50" applyFont="1" applyFill="1" applyBorder="1" applyAlignment="1" applyProtection="1">
      <alignment horizontal="center"/>
      <protection/>
    </xf>
    <xf numFmtId="1" fontId="0" fillId="35" borderId="13" xfId="50" applyNumberFormat="1" applyFont="1" applyFill="1" applyBorder="1" applyAlignment="1" applyProtection="1">
      <alignment horizontal="center"/>
      <protection/>
    </xf>
    <xf numFmtId="9" fontId="0" fillId="35" borderId="13" xfId="50" applyFont="1" applyFill="1" applyBorder="1" applyAlignment="1" applyProtection="1">
      <alignment horizontal="center"/>
      <protection/>
    </xf>
    <xf numFmtId="3" fontId="0" fillId="0" borderId="13" xfId="0" applyNumberFormat="1" applyBorder="1" applyAlignment="1" applyProtection="1">
      <alignment/>
      <protection/>
    </xf>
    <xf numFmtId="2" fontId="0" fillId="35" borderId="13" xfId="0" applyNumberFormat="1" applyFill="1" applyBorder="1" applyAlignment="1" applyProtection="1">
      <alignment horizontal="center"/>
      <protection/>
    </xf>
    <xf numFmtId="0" fontId="0" fillId="35" borderId="13" xfId="0" applyFill="1" applyBorder="1" applyAlignment="1" applyProtection="1">
      <alignment horizontal="center"/>
      <protection/>
    </xf>
    <xf numFmtId="0" fontId="1" fillId="0" borderId="0" xfId="0" applyFont="1" applyFill="1" applyBorder="1" applyAlignment="1" applyProtection="1">
      <alignment horizontal="left"/>
      <protection/>
    </xf>
    <xf numFmtId="14" fontId="17" fillId="37" borderId="16" xfId="0" applyNumberFormat="1" applyFont="1" applyFill="1" applyBorder="1" applyAlignment="1">
      <alignment/>
    </xf>
    <xf numFmtId="0" fontId="0" fillId="34" borderId="13" xfId="0" applyFill="1" applyBorder="1" applyAlignment="1">
      <alignment horizontal="center"/>
    </xf>
    <xf numFmtId="14" fontId="17" fillId="34" borderId="13" xfId="0" applyNumberFormat="1" applyFont="1" applyFill="1" applyBorder="1" applyAlignment="1">
      <alignment/>
    </xf>
    <xf numFmtId="0" fontId="0" fillId="34" borderId="10" xfId="0" applyFill="1" applyBorder="1" applyAlignment="1">
      <alignment horizontal="center"/>
    </xf>
    <xf numFmtId="0" fontId="0" fillId="34" borderId="14" xfId="0" applyFill="1" applyBorder="1" applyAlignment="1">
      <alignment/>
    </xf>
    <xf numFmtId="0" fontId="0" fillId="34" borderId="12" xfId="0" applyFill="1" applyBorder="1" applyAlignment="1">
      <alignment horizontal="center"/>
    </xf>
    <xf numFmtId="0" fontId="0" fillId="34" borderId="15" xfId="0" applyFill="1" applyBorder="1" applyAlignment="1">
      <alignment/>
    </xf>
    <xf numFmtId="0" fontId="0" fillId="34" borderId="0" xfId="0" applyFill="1" applyBorder="1" applyAlignment="1">
      <alignment horizontal="center"/>
    </xf>
    <xf numFmtId="0" fontId="0" fillId="34" borderId="0" xfId="0" applyFill="1" applyBorder="1" applyAlignment="1">
      <alignment horizontal="left"/>
    </xf>
    <xf numFmtId="0" fontId="0" fillId="37" borderId="13" xfId="0" applyFill="1" applyBorder="1" applyAlignment="1">
      <alignment horizontal="center"/>
    </xf>
    <xf numFmtId="0" fontId="0" fillId="34" borderId="10" xfId="0" applyFill="1" applyBorder="1" applyAlignment="1">
      <alignment horizontal="left"/>
    </xf>
    <xf numFmtId="0" fontId="0" fillId="34" borderId="15" xfId="0" applyFill="1" applyBorder="1" applyAlignment="1">
      <alignment horizontal="center"/>
    </xf>
    <xf numFmtId="1" fontId="0" fillId="34" borderId="0" xfId="0" applyNumberFormat="1" applyFill="1" applyAlignment="1">
      <alignment horizontal="center"/>
    </xf>
    <xf numFmtId="3" fontId="0" fillId="37" borderId="13" xfId="0" applyNumberFormat="1" applyFill="1" applyBorder="1" applyAlignment="1">
      <alignment/>
    </xf>
    <xf numFmtId="13" fontId="0" fillId="34" borderId="13" xfId="0" applyNumberFormat="1" applyFill="1" applyBorder="1" applyAlignment="1">
      <alignment horizontal="center"/>
    </xf>
    <xf numFmtId="13" fontId="0" fillId="34" borderId="0" xfId="0" applyNumberFormat="1" applyFill="1" applyAlignment="1">
      <alignment/>
    </xf>
    <xf numFmtId="0" fontId="0" fillId="34" borderId="17" xfId="0" applyFill="1" applyBorder="1" applyAlignment="1">
      <alignment horizontal="center"/>
    </xf>
    <xf numFmtId="0" fontId="0" fillId="34" borderId="19" xfId="0" applyFill="1" applyBorder="1" applyAlignment="1">
      <alignment/>
    </xf>
    <xf numFmtId="14" fontId="1" fillId="34" borderId="13" xfId="0" applyNumberFormat="1" applyFont="1" applyFill="1" applyBorder="1" applyAlignment="1">
      <alignment/>
    </xf>
    <xf numFmtId="0" fontId="1" fillId="39" borderId="0" xfId="0" applyFont="1" applyFill="1" applyBorder="1" applyAlignment="1" applyProtection="1">
      <alignment horizontal="center"/>
      <protection/>
    </xf>
    <xf numFmtId="0" fontId="12" fillId="39" borderId="0" xfId="0" applyFont="1" applyFill="1" applyBorder="1" applyAlignment="1" applyProtection="1">
      <alignment horizontal="center"/>
      <protection/>
    </xf>
    <xf numFmtId="0" fontId="4" fillId="39" borderId="0" xfId="0" applyFont="1" applyFill="1" applyBorder="1" applyAlignment="1" applyProtection="1">
      <alignment horizontal="left"/>
      <protection/>
    </xf>
    <xf numFmtId="0" fontId="17" fillId="0" borderId="11" xfId="0" applyFont="1" applyBorder="1" applyAlignment="1">
      <alignment/>
    </xf>
    <xf numFmtId="166" fontId="0" fillId="0" borderId="12" xfId="0" applyNumberFormat="1" applyBorder="1" applyAlignment="1">
      <alignment/>
    </xf>
    <xf numFmtId="166" fontId="0" fillId="0" borderId="0" xfId="50" applyNumberFormat="1" applyFont="1" applyBorder="1" applyAlignment="1">
      <alignment/>
    </xf>
    <xf numFmtId="49" fontId="0" fillId="0" borderId="0" xfId="0" applyNumberFormat="1" applyBorder="1" applyAlignment="1">
      <alignment/>
    </xf>
    <xf numFmtId="174" fontId="0" fillId="37" borderId="0" xfId="0" applyNumberFormat="1" applyFill="1" applyBorder="1" applyAlignment="1">
      <alignment horizontal="left"/>
    </xf>
    <xf numFmtId="166" fontId="0" fillId="0" borderId="17" xfId="0" applyNumberFormat="1" applyBorder="1" applyAlignment="1">
      <alignment/>
    </xf>
    <xf numFmtId="166" fontId="0" fillId="0" borderId="18" xfId="50" applyNumberFormat="1" applyFont="1" applyBorder="1" applyAlignment="1">
      <alignment/>
    </xf>
    <xf numFmtId="49" fontId="0" fillId="0" borderId="18" xfId="0" applyNumberFormat="1" applyBorder="1" applyAlignment="1">
      <alignment/>
    </xf>
    <xf numFmtId="174" fontId="0" fillId="37" borderId="18" xfId="0" applyNumberFormat="1" applyFill="1" applyBorder="1" applyAlignment="1">
      <alignment horizontal="left"/>
    </xf>
    <xf numFmtId="0" fontId="17" fillId="34" borderId="10" xfId="0" applyFont="1" applyFill="1" applyBorder="1" applyAlignment="1">
      <alignment/>
    </xf>
    <xf numFmtId="0" fontId="17" fillId="34" borderId="14" xfId="0" applyFont="1" applyFill="1" applyBorder="1" applyAlignment="1">
      <alignment/>
    </xf>
    <xf numFmtId="0" fontId="17" fillId="34" borderId="12" xfId="0" applyFont="1" applyFill="1" applyBorder="1" applyAlignment="1">
      <alignment horizontal="center"/>
    </xf>
    <xf numFmtId="0" fontId="17" fillId="34" borderId="15" xfId="0" applyFont="1" applyFill="1" applyBorder="1" applyAlignment="1">
      <alignment horizontal="center"/>
    </xf>
    <xf numFmtId="166" fontId="1" fillId="34" borderId="0" xfId="50" applyNumberFormat="1" applyFont="1" applyFill="1" applyBorder="1" applyAlignment="1">
      <alignment/>
    </xf>
    <xf numFmtId="186" fontId="1" fillId="34" borderId="0" xfId="0" applyNumberFormat="1" applyFont="1" applyFill="1" applyAlignment="1">
      <alignment horizontal="center"/>
    </xf>
    <xf numFmtId="1" fontId="1" fillId="34" borderId="13" xfId="0" applyNumberFormat="1" applyFont="1" applyFill="1" applyBorder="1" applyAlignment="1">
      <alignment horizontal="center"/>
    </xf>
    <xf numFmtId="3" fontId="17" fillId="34" borderId="20" xfId="0" applyNumberFormat="1" applyFont="1" applyFill="1" applyBorder="1" applyAlignment="1">
      <alignment/>
    </xf>
    <xf numFmtId="0" fontId="1" fillId="34" borderId="13" xfId="0" applyFont="1" applyFill="1" applyBorder="1" applyAlignment="1">
      <alignment horizontal="center"/>
    </xf>
    <xf numFmtId="3" fontId="0" fillId="0" borderId="13" xfId="0" applyNumberFormat="1" applyBorder="1" applyAlignment="1">
      <alignment/>
    </xf>
    <xf numFmtId="0" fontId="28" fillId="34" borderId="0" xfId="0" applyFont="1" applyFill="1" applyBorder="1" applyAlignment="1">
      <alignment/>
    </xf>
    <xf numFmtId="0" fontId="4" fillId="0" borderId="0" xfId="0" applyFont="1" applyAlignment="1">
      <alignment/>
    </xf>
    <xf numFmtId="14" fontId="1" fillId="0" borderId="0" xfId="0" applyNumberFormat="1" applyFont="1" applyFill="1" applyBorder="1" applyAlignment="1" applyProtection="1">
      <alignment horizontal="left"/>
      <protection/>
    </xf>
    <xf numFmtId="9" fontId="0" fillId="35" borderId="13" xfId="0" applyNumberFormat="1" applyFill="1" applyBorder="1" applyAlignment="1" applyProtection="1">
      <alignment horizontal="center"/>
      <protection locked="0"/>
    </xf>
    <xf numFmtId="3" fontId="17" fillId="0" borderId="0" xfId="0" applyNumberFormat="1" applyFont="1" applyFill="1" applyAlignment="1" applyProtection="1">
      <alignment/>
      <protection/>
    </xf>
    <xf numFmtId="0" fontId="1" fillId="39" borderId="0" xfId="0" applyFont="1" applyFill="1" applyBorder="1" applyAlignment="1" applyProtection="1">
      <alignment horizontal="left"/>
      <protection/>
    </xf>
    <xf numFmtId="14" fontId="1" fillId="39" borderId="13" xfId="0" applyNumberFormat="1" applyFont="1" applyFill="1" applyBorder="1" applyAlignment="1" applyProtection="1">
      <alignment/>
      <protection/>
    </xf>
    <xf numFmtId="0" fontId="1" fillId="39" borderId="13" xfId="0" applyFont="1" applyFill="1" applyBorder="1" applyAlignment="1" applyProtection="1">
      <alignment horizontal="center"/>
      <protection/>
    </xf>
    <xf numFmtId="3" fontId="1" fillId="39" borderId="13" xfId="0" applyNumberFormat="1" applyFont="1" applyFill="1" applyBorder="1" applyAlignment="1" applyProtection="1">
      <alignment horizontal="center"/>
      <protection/>
    </xf>
    <xf numFmtId="13" fontId="1" fillId="39" borderId="0" xfId="0" applyNumberFormat="1" applyFont="1" applyFill="1" applyBorder="1" applyAlignment="1" applyProtection="1">
      <alignment horizontal="center"/>
      <protection/>
    </xf>
    <xf numFmtId="3" fontId="1" fillId="39" borderId="13" xfId="0" applyNumberFormat="1" applyFont="1" applyFill="1" applyBorder="1" applyAlignment="1" applyProtection="1">
      <alignment horizontal="right"/>
      <protection/>
    </xf>
    <xf numFmtId="10" fontId="1" fillId="39" borderId="13" xfId="50" applyNumberFormat="1" applyFont="1" applyFill="1" applyBorder="1" applyAlignment="1" applyProtection="1">
      <alignment horizontal="center"/>
      <protection/>
    </xf>
    <xf numFmtId="0" fontId="4" fillId="39" borderId="0" xfId="0" applyFont="1" applyFill="1" applyAlignment="1" applyProtection="1">
      <alignment/>
      <protection/>
    </xf>
    <xf numFmtId="3" fontId="4" fillId="39" borderId="0" xfId="0" applyNumberFormat="1" applyFont="1" applyFill="1" applyBorder="1" applyAlignment="1" applyProtection="1">
      <alignment horizontal="right"/>
      <protection/>
    </xf>
    <xf numFmtId="3" fontId="1" fillId="39" borderId="0" xfId="0" applyNumberFormat="1" applyFont="1" applyFill="1" applyBorder="1" applyAlignment="1" applyProtection="1">
      <alignment horizontal="right"/>
      <protection/>
    </xf>
    <xf numFmtId="3" fontId="1" fillId="39" borderId="0" xfId="0" applyNumberFormat="1" applyFont="1" applyFill="1" applyBorder="1" applyAlignment="1" applyProtection="1">
      <alignment/>
      <protection/>
    </xf>
    <xf numFmtId="3" fontId="1" fillId="39" borderId="13" xfId="0" applyNumberFormat="1" applyFont="1" applyFill="1" applyBorder="1" applyAlignment="1" applyProtection="1">
      <alignment/>
      <protection/>
    </xf>
    <xf numFmtId="3" fontId="1" fillId="39" borderId="16" xfId="0" applyNumberFormat="1" applyFont="1" applyFill="1" applyBorder="1" applyAlignment="1" applyProtection="1">
      <alignment/>
      <protection/>
    </xf>
    <xf numFmtId="3" fontId="1" fillId="39" borderId="0" xfId="0" applyNumberFormat="1" applyFont="1" applyFill="1" applyBorder="1" applyAlignment="1" applyProtection="1">
      <alignment horizontal="center"/>
      <protection/>
    </xf>
    <xf numFmtId="3" fontId="32" fillId="39" borderId="16" xfId="0" applyNumberFormat="1" applyFont="1" applyFill="1" applyBorder="1" applyAlignment="1" applyProtection="1">
      <alignment/>
      <protection/>
    </xf>
    <xf numFmtId="176" fontId="18" fillId="39" borderId="0" xfId="0" applyNumberFormat="1" applyFont="1" applyFill="1" applyAlignment="1" applyProtection="1">
      <alignment horizontal="center"/>
      <protection/>
    </xf>
    <xf numFmtId="0" fontId="18" fillId="39" borderId="0" xfId="0" applyFont="1" applyFill="1" applyBorder="1" applyAlignment="1" applyProtection="1">
      <alignment horizontal="left"/>
      <protection/>
    </xf>
    <xf numFmtId="3" fontId="0" fillId="34" borderId="16" xfId="0" applyNumberFormat="1" applyFill="1" applyBorder="1" applyAlignment="1" applyProtection="1">
      <alignment/>
      <protection/>
    </xf>
    <xf numFmtId="0" fontId="32" fillId="34" borderId="0" xfId="0" applyFont="1" applyFill="1" applyAlignment="1">
      <alignment/>
    </xf>
    <xf numFmtId="176" fontId="32" fillId="34" borderId="0" xfId="0" applyNumberFormat="1" applyFont="1" applyFill="1" applyAlignment="1">
      <alignment horizontal="left"/>
    </xf>
    <xf numFmtId="49" fontId="1" fillId="34" borderId="0" xfId="0" applyNumberFormat="1" applyFont="1" applyFill="1" applyBorder="1" applyAlignment="1">
      <alignment/>
    </xf>
    <xf numFmtId="174" fontId="1" fillId="34" borderId="0" xfId="0" applyNumberFormat="1" applyFont="1" applyFill="1" applyBorder="1" applyAlignment="1">
      <alignment horizontal="left"/>
    </xf>
    <xf numFmtId="173" fontId="1" fillId="39" borderId="0" xfId="0" applyNumberFormat="1" applyFont="1" applyFill="1" applyAlignment="1" applyProtection="1">
      <alignment/>
      <protection/>
    </xf>
    <xf numFmtId="192" fontId="1" fillId="39" borderId="0" xfId="0" applyNumberFormat="1" applyFont="1" applyFill="1" applyBorder="1" applyAlignment="1" applyProtection="1">
      <alignment horizontal="right"/>
      <protection/>
    </xf>
    <xf numFmtId="0" fontId="18" fillId="35" borderId="13" xfId="0" applyFont="1" applyFill="1" applyBorder="1" applyAlignment="1" applyProtection="1">
      <alignment horizontal="center"/>
      <protection locked="0"/>
    </xf>
    <xf numFmtId="3" fontId="1" fillId="39" borderId="22" xfId="0" applyNumberFormat="1" applyFont="1" applyFill="1" applyBorder="1" applyAlignment="1" applyProtection="1">
      <alignment horizontal="right"/>
      <protection/>
    </xf>
    <xf numFmtId="3" fontId="17" fillId="0" borderId="0" xfId="0" applyNumberFormat="1" applyFont="1" applyBorder="1" applyAlignment="1">
      <alignment/>
    </xf>
    <xf numFmtId="172" fontId="4" fillId="34" borderId="0" xfId="0" applyNumberFormat="1" applyFont="1" applyFill="1" applyBorder="1" applyAlignment="1" applyProtection="1">
      <alignment/>
      <protection/>
    </xf>
    <xf numFmtId="173" fontId="1" fillId="33" borderId="0" xfId="0" applyNumberFormat="1" applyFont="1" applyFill="1" applyBorder="1" applyAlignment="1" applyProtection="1">
      <alignment/>
      <protection/>
    </xf>
    <xf numFmtId="20" fontId="1" fillId="33" borderId="0" xfId="0" applyNumberFormat="1" applyFont="1" applyFill="1" applyBorder="1" applyAlignment="1" applyProtection="1">
      <alignment/>
      <protection/>
    </xf>
    <xf numFmtId="0" fontId="4" fillId="33" borderId="0" xfId="0" applyFont="1" applyFill="1" applyBorder="1" applyAlignment="1" applyProtection="1">
      <alignment/>
      <protection/>
    </xf>
    <xf numFmtId="2" fontId="1" fillId="41" borderId="0" xfId="0" applyNumberFormat="1" applyFont="1" applyFill="1" applyBorder="1" applyAlignment="1" applyProtection="1">
      <alignment/>
      <protection/>
    </xf>
    <xf numFmtId="171" fontId="1" fillId="41" borderId="0" xfId="0" applyNumberFormat="1" applyFont="1" applyFill="1" applyBorder="1" applyAlignment="1" applyProtection="1">
      <alignment/>
      <protection/>
    </xf>
    <xf numFmtId="170" fontId="1" fillId="41" borderId="0" xfId="0" applyNumberFormat="1" applyFont="1" applyFill="1" applyBorder="1" applyAlignment="1" applyProtection="1">
      <alignment/>
      <protection/>
    </xf>
    <xf numFmtId="3" fontId="1" fillId="41" borderId="0" xfId="0" applyNumberFormat="1" applyFont="1" applyFill="1" applyBorder="1" applyAlignment="1" applyProtection="1">
      <alignment/>
      <protection/>
    </xf>
    <xf numFmtId="0" fontId="1" fillId="41" borderId="0" xfId="0" applyFont="1" applyFill="1" applyBorder="1" applyAlignment="1" applyProtection="1">
      <alignment horizontal="center"/>
      <protection/>
    </xf>
    <xf numFmtId="0" fontId="2" fillId="33" borderId="15" xfId="0" applyFont="1" applyFill="1" applyBorder="1" applyAlignment="1">
      <alignment/>
    </xf>
    <xf numFmtId="2" fontId="1" fillId="33" borderId="15" xfId="0" applyNumberFormat="1" applyFont="1" applyFill="1" applyBorder="1" applyAlignment="1" applyProtection="1">
      <alignment/>
      <protection/>
    </xf>
    <xf numFmtId="0" fontId="0" fillId="34" borderId="11" xfId="0" applyFill="1" applyBorder="1" applyAlignment="1">
      <alignment/>
    </xf>
    <xf numFmtId="1" fontId="0" fillId="34" borderId="0" xfId="0" applyNumberFormat="1" applyFill="1" applyBorder="1" applyAlignment="1">
      <alignment horizontal="center"/>
    </xf>
    <xf numFmtId="10" fontId="4" fillId="34" borderId="0" xfId="50" applyNumberFormat="1" applyFont="1" applyFill="1" applyBorder="1" applyAlignment="1">
      <alignment/>
    </xf>
    <xf numFmtId="0" fontId="1" fillId="34" borderId="0" xfId="0" applyFont="1"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3" fontId="14" fillId="41" borderId="0" xfId="0" applyNumberFormat="1" applyFont="1" applyFill="1" applyBorder="1" applyAlignment="1" applyProtection="1">
      <alignment/>
      <protection/>
    </xf>
    <xf numFmtId="0" fontId="23" fillId="0" borderId="0" xfId="0" applyFont="1" applyAlignment="1" applyProtection="1">
      <alignment/>
      <protection/>
    </xf>
    <xf numFmtId="13" fontId="1" fillId="39" borderId="0" xfId="0" applyNumberFormat="1" applyFont="1" applyFill="1" applyAlignment="1" applyProtection="1">
      <alignment/>
      <protection/>
    </xf>
    <xf numFmtId="179" fontId="1" fillId="39" borderId="0" xfId="0" applyNumberFormat="1" applyFont="1" applyFill="1" applyAlignment="1" applyProtection="1">
      <alignment horizontal="center"/>
      <protection/>
    </xf>
    <xf numFmtId="3" fontId="1" fillId="0" borderId="13" xfId="0" applyNumberFormat="1" applyFont="1" applyFill="1" applyBorder="1" applyAlignment="1" applyProtection="1">
      <alignment/>
      <protection/>
    </xf>
    <xf numFmtId="3" fontId="1" fillId="0" borderId="16" xfId="0" applyNumberFormat="1" applyFont="1" applyFill="1" applyBorder="1" applyAlignment="1" applyProtection="1">
      <alignment/>
      <protection/>
    </xf>
    <xf numFmtId="0" fontId="19" fillId="34" borderId="0" xfId="0" applyFont="1" applyFill="1" applyBorder="1" applyAlignment="1" applyProtection="1">
      <alignment horizontal="center"/>
      <protection/>
    </xf>
    <xf numFmtId="0" fontId="3" fillId="34" borderId="0" xfId="0" applyFont="1" applyFill="1" applyAlignment="1" applyProtection="1">
      <alignment/>
      <protection/>
    </xf>
    <xf numFmtId="167" fontId="1" fillId="37" borderId="0" xfId="0" applyNumberFormat="1" applyFont="1" applyFill="1" applyAlignment="1" applyProtection="1">
      <alignment horizontal="left"/>
      <protection locked="0"/>
    </xf>
    <xf numFmtId="0" fontId="3" fillId="34" borderId="0" xfId="0" applyFont="1" applyFill="1" applyAlignment="1" applyProtection="1">
      <alignment/>
      <protection/>
    </xf>
    <xf numFmtId="14" fontId="1" fillId="34" borderId="13" xfId="0" applyNumberFormat="1" applyFont="1" applyFill="1" applyBorder="1" applyAlignment="1" applyProtection="1">
      <alignment horizontal="left"/>
      <protection/>
    </xf>
    <xf numFmtId="190" fontId="1" fillId="0" borderId="0" xfId="0" applyNumberFormat="1" applyFont="1" applyFill="1" applyBorder="1" applyAlignment="1" applyProtection="1">
      <alignment horizontal="left"/>
      <protection/>
    </xf>
    <xf numFmtId="0" fontId="0" fillId="34" borderId="10" xfId="0" applyFill="1" applyBorder="1" applyAlignment="1">
      <alignment/>
    </xf>
    <xf numFmtId="3" fontId="0" fillId="34" borderId="0" xfId="0" applyNumberFormat="1" applyFill="1" applyBorder="1" applyAlignment="1">
      <alignment horizontal="center"/>
    </xf>
    <xf numFmtId="0" fontId="0" fillId="34" borderId="21" xfId="0" applyFill="1" applyBorder="1" applyAlignment="1">
      <alignment/>
    </xf>
    <xf numFmtId="10" fontId="0" fillId="34" borderId="0" xfId="0" applyNumberFormat="1" applyFill="1" applyAlignment="1">
      <alignment horizontal="center"/>
    </xf>
    <xf numFmtId="0" fontId="0" fillId="34" borderId="20" xfId="0" applyFill="1" applyBorder="1" applyAlignment="1">
      <alignment/>
    </xf>
    <xf numFmtId="0" fontId="35" fillId="34" borderId="0" xfId="0" applyFont="1" applyFill="1" applyAlignment="1">
      <alignment/>
    </xf>
    <xf numFmtId="0" fontId="0" fillId="34" borderId="19" xfId="0" applyFill="1" applyBorder="1" applyAlignment="1">
      <alignment horizontal="center"/>
    </xf>
    <xf numFmtId="0" fontId="0" fillId="34" borderId="29" xfId="0" applyFill="1" applyBorder="1" applyAlignment="1">
      <alignment horizontal="center"/>
    </xf>
    <xf numFmtId="0" fontId="0" fillId="34" borderId="16" xfId="0" applyFill="1" applyBorder="1" applyAlignment="1">
      <alignment/>
    </xf>
    <xf numFmtId="3" fontId="0" fillId="34" borderId="23" xfId="0" applyNumberFormat="1" applyFill="1" applyBorder="1" applyAlignment="1">
      <alignment horizontal="center"/>
    </xf>
    <xf numFmtId="0" fontId="0" fillId="34" borderId="30" xfId="0" applyFill="1" applyBorder="1" applyAlignment="1">
      <alignment horizontal="left"/>
    </xf>
    <xf numFmtId="3" fontId="0" fillId="34" borderId="31" xfId="0" applyNumberFormat="1" applyFill="1" applyBorder="1" applyAlignment="1">
      <alignment horizontal="center"/>
    </xf>
    <xf numFmtId="0" fontId="0" fillId="34" borderId="14" xfId="0" applyFill="1" applyBorder="1" applyAlignment="1">
      <alignment horizontal="center"/>
    </xf>
    <xf numFmtId="3" fontId="0" fillId="34" borderId="28" xfId="0" applyNumberFormat="1" applyFill="1" applyBorder="1" applyAlignment="1">
      <alignment horizontal="center"/>
    </xf>
    <xf numFmtId="0" fontId="0" fillId="34" borderId="27" xfId="0" applyFill="1" applyBorder="1" applyAlignment="1">
      <alignment horizontal="center"/>
    </xf>
    <xf numFmtId="0" fontId="0" fillId="34" borderId="32" xfId="0" applyFill="1" applyBorder="1" applyAlignment="1">
      <alignment horizontal="left"/>
    </xf>
    <xf numFmtId="10" fontId="0" fillId="34" borderId="20" xfId="0" applyNumberFormat="1" applyFill="1" applyBorder="1" applyAlignment="1">
      <alignment horizontal="center"/>
    </xf>
    <xf numFmtId="0" fontId="17" fillId="34" borderId="20" xfId="0" applyFont="1" applyFill="1" applyBorder="1" applyAlignment="1">
      <alignment/>
    </xf>
    <xf numFmtId="0" fontId="17" fillId="34" borderId="26" xfId="0" applyFont="1" applyFill="1" applyBorder="1" applyAlignment="1">
      <alignment/>
    </xf>
    <xf numFmtId="0" fontId="17" fillId="34" borderId="10" xfId="0" applyFont="1" applyFill="1" applyBorder="1" applyAlignment="1">
      <alignment horizontal="center"/>
    </xf>
    <xf numFmtId="3" fontId="18" fillId="34" borderId="29" xfId="0" applyNumberFormat="1" applyFont="1" applyFill="1" applyBorder="1" applyAlignment="1">
      <alignment/>
    </xf>
    <xf numFmtId="3" fontId="32" fillId="42" borderId="13" xfId="0" applyNumberFormat="1" applyFont="1" applyFill="1" applyBorder="1" applyAlignment="1">
      <alignment/>
    </xf>
    <xf numFmtId="0" fontId="18" fillId="34" borderId="0" xfId="0" applyFont="1" applyFill="1" applyAlignment="1">
      <alignment horizontal="center"/>
    </xf>
    <xf numFmtId="0" fontId="36" fillId="38" borderId="0" xfId="0" applyFont="1" applyFill="1" applyAlignment="1">
      <alignment/>
    </xf>
    <xf numFmtId="0" fontId="1" fillId="38" borderId="0" xfId="0" applyFont="1" applyFill="1" applyAlignment="1">
      <alignment/>
    </xf>
    <xf numFmtId="0" fontId="0" fillId="38" borderId="0" xfId="0" applyFill="1" applyBorder="1" applyAlignment="1">
      <alignment/>
    </xf>
    <xf numFmtId="0" fontId="2" fillId="38" borderId="0" xfId="0" applyFont="1" applyFill="1" applyBorder="1" applyAlignment="1">
      <alignment horizontal="center"/>
    </xf>
    <xf numFmtId="3" fontId="0" fillId="38" borderId="18" xfId="0" applyNumberFormat="1" applyFill="1" applyBorder="1" applyAlignment="1">
      <alignment/>
    </xf>
    <xf numFmtId="0" fontId="0" fillId="38" borderId="18" xfId="0" applyFill="1" applyBorder="1" applyAlignment="1">
      <alignment horizontal="center"/>
    </xf>
    <xf numFmtId="0" fontId="2" fillId="38" borderId="18" xfId="0" applyFont="1" applyFill="1" applyBorder="1" applyAlignment="1">
      <alignment horizontal="center"/>
    </xf>
    <xf numFmtId="0" fontId="1" fillId="38" borderId="0" xfId="0" applyFont="1" applyFill="1" applyBorder="1" applyAlignment="1">
      <alignment horizontal="right"/>
    </xf>
    <xf numFmtId="3" fontId="4" fillId="38" borderId="0" xfId="0" applyNumberFormat="1" applyFont="1" applyFill="1" applyBorder="1" applyAlignment="1">
      <alignment horizontal="center"/>
    </xf>
    <xf numFmtId="0" fontId="1" fillId="38" borderId="0" xfId="0" applyFont="1" applyFill="1" applyAlignment="1">
      <alignment horizontal="right"/>
    </xf>
    <xf numFmtId="0" fontId="24" fillId="38" borderId="0" xfId="0" applyFont="1" applyFill="1" applyBorder="1" applyAlignment="1">
      <alignment horizontal="center"/>
    </xf>
    <xf numFmtId="0" fontId="1" fillId="34" borderId="0" xfId="0" applyFont="1" applyFill="1" applyBorder="1" applyAlignment="1">
      <alignment horizontal="right"/>
    </xf>
    <xf numFmtId="3" fontId="1" fillId="34" borderId="0" xfId="0" applyNumberFormat="1" applyFont="1" applyFill="1" applyBorder="1" applyAlignment="1">
      <alignment horizontal="center"/>
    </xf>
    <xf numFmtId="3" fontId="0" fillId="34" borderId="23" xfId="0" applyNumberFormat="1" applyFill="1" applyBorder="1" applyAlignment="1" applyProtection="1">
      <alignment horizontal="center"/>
      <protection/>
    </xf>
    <xf numFmtId="167" fontId="1" fillId="34" borderId="0" xfId="0" applyNumberFormat="1" applyFont="1" applyFill="1" applyAlignment="1" applyProtection="1">
      <alignment horizontal="left"/>
      <protection/>
    </xf>
    <xf numFmtId="167" fontId="1" fillId="34" borderId="0" xfId="0" applyNumberFormat="1" applyFont="1" applyFill="1" applyAlignment="1">
      <alignment/>
    </xf>
    <xf numFmtId="0" fontId="1" fillId="0" borderId="0" xfId="0" applyFont="1" applyFill="1" applyAlignment="1" applyProtection="1">
      <alignment horizontal="center"/>
      <protection/>
    </xf>
    <xf numFmtId="3" fontId="10" fillId="0" borderId="13" xfId="0" applyNumberFormat="1" applyFont="1" applyFill="1" applyBorder="1" applyAlignment="1" applyProtection="1">
      <alignment/>
      <protection/>
    </xf>
    <xf numFmtId="3" fontId="1" fillId="0" borderId="0" xfId="0" applyNumberFormat="1" applyFont="1" applyFill="1" applyAlignment="1" applyProtection="1">
      <alignment/>
      <protection/>
    </xf>
    <xf numFmtId="9" fontId="0" fillId="38" borderId="0" xfId="50" applyFont="1" applyFill="1" applyAlignment="1">
      <alignment horizontal="center"/>
    </xf>
    <xf numFmtId="193" fontId="1" fillId="33" borderId="0" xfId="0" applyNumberFormat="1" applyFont="1" applyFill="1" applyBorder="1" applyAlignment="1">
      <alignment/>
    </xf>
    <xf numFmtId="14" fontId="1" fillId="33" borderId="0" xfId="0" applyNumberFormat="1" applyFont="1" applyFill="1" applyBorder="1" applyAlignment="1">
      <alignment/>
    </xf>
    <xf numFmtId="14" fontId="0" fillId="0" borderId="0" xfId="0" applyNumberFormat="1" applyBorder="1" applyAlignment="1">
      <alignment/>
    </xf>
    <xf numFmtId="14" fontId="23" fillId="0" borderId="0" xfId="0" applyNumberFormat="1" applyFont="1" applyBorder="1" applyAlignment="1">
      <alignment/>
    </xf>
    <xf numFmtId="169" fontId="0" fillId="0" borderId="0" xfId="0" applyNumberFormat="1" applyBorder="1" applyAlignment="1">
      <alignment/>
    </xf>
    <xf numFmtId="2" fontId="0" fillId="0" borderId="0" xfId="0" applyNumberFormat="1" applyBorder="1" applyAlignment="1">
      <alignment/>
    </xf>
    <xf numFmtId="195" fontId="0" fillId="0" borderId="0" xfId="0" applyNumberFormat="1" applyBorder="1" applyAlignment="1">
      <alignment/>
    </xf>
    <xf numFmtId="176" fontId="6" fillId="0" borderId="0" xfId="0" applyNumberFormat="1" applyFont="1" applyFill="1" applyBorder="1" applyAlignment="1" applyProtection="1">
      <alignment/>
      <protection/>
    </xf>
    <xf numFmtId="176" fontId="7" fillId="34" borderId="18" xfId="0" applyNumberFormat="1" applyFont="1" applyFill="1" applyBorder="1" applyAlignment="1" applyProtection="1">
      <alignment horizontal="left"/>
      <protection/>
    </xf>
    <xf numFmtId="0" fontId="1" fillId="34" borderId="19" xfId="0" applyFont="1" applyFill="1" applyBorder="1" applyAlignment="1" applyProtection="1">
      <alignment horizontal="left"/>
      <protection/>
    </xf>
    <xf numFmtId="176" fontId="4" fillId="34" borderId="0" xfId="0" applyNumberFormat="1" applyFont="1" applyFill="1" applyAlignment="1" applyProtection="1">
      <alignment/>
      <protection/>
    </xf>
    <xf numFmtId="176" fontId="1" fillId="34" borderId="0" xfId="0" applyNumberFormat="1" applyFont="1" applyFill="1" applyAlignment="1" applyProtection="1">
      <alignment horizontal="left"/>
      <protection/>
    </xf>
    <xf numFmtId="196" fontId="1" fillId="34" borderId="0" xfId="0" applyNumberFormat="1" applyFont="1" applyFill="1" applyAlignment="1">
      <alignment horizontal="left"/>
    </xf>
    <xf numFmtId="197" fontId="1" fillId="34" borderId="0" xfId="0" applyNumberFormat="1" applyFont="1" applyFill="1" applyAlignment="1">
      <alignment/>
    </xf>
    <xf numFmtId="198" fontId="1" fillId="34" borderId="0" xfId="0" applyNumberFormat="1" applyFont="1" applyFill="1" applyAlignment="1">
      <alignment horizontal="center"/>
    </xf>
    <xf numFmtId="199" fontId="1" fillId="34" borderId="13" xfId="0" applyNumberFormat="1" applyFont="1" applyFill="1" applyBorder="1" applyAlignment="1">
      <alignment horizontal="left"/>
    </xf>
    <xf numFmtId="1" fontId="0" fillId="34" borderId="0" xfId="0" applyNumberFormat="1" applyFill="1" applyAlignment="1">
      <alignment/>
    </xf>
    <xf numFmtId="201" fontId="1" fillId="39" borderId="0" xfId="0" applyNumberFormat="1" applyFont="1" applyFill="1" applyBorder="1" applyAlignment="1" applyProtection="1">
      <alignment horizontal="center"/>
      <protection/>
    </xf>
    <xf numFmtId="0" fontId="1" fillId="0" borderId="14" xfId="0" applyFont="1" applyFill="1" applyBorder="1" applyAlignment="1" applyProtection="1">
      <alignment/>
      <protection/>
    </xf>
    <xf numFmtId="176" fontId="1" fillId="34" borderId="0" xfId="0" applyNumberFormat="1" applyFont="1" applyFill="1" applyAlignment="1">
      <alignment horizontal="left"/>
    </xf>
    <xf numFmtId="176" fontId="1" fillId="39" borderId="0" xfId="0" applyNumberFormat="1" applyFont="1" applyFill="1" applyBorder="1" applyAlignment="1" applyProtection="1">
      <alignment horizontal="center"/>
      <protection/>
    </xf>
    <xf numFmtId="176" fontId="1" fillId="39" borderId="0" xfId="0" applyNumberFormat="1" applyFont="1" applyFill="1" applyAlignment="1" applyProtection="1">
      <alignment horizontal="center"/>
      <protection/>
    </xf>
    <xf numFmtId="0" fontId="1" fillId="39" borderId="10" xfId="0" applyFont="1" applyFill="1" applyBorder="1" applyAlignment="1" applyProtection="1">
      <alignment horizontal="left"/>
      <protection/>
    </xf>
    <xf numFmtId="0" fontId="17" fillId="39" borderId="14" xfId="0" applyFont="1" applyFill="1" applyBorder="1" applyAlignment="1" applyProtection="1">
      <alignment/>
      <protection/>
    </xf>
    <xf numFmtId="176" fontId="1" fillId="39" borderId="17" xfId="0" applyNumberFormat="1" applyFont="1" applyFill="1" applyBorder="1" applyAlignment="1" applyProtection="1">
      <alignment horizontal="center"/>
      <protection/>
    </xf>
    <xf numFmtId="14" fontId="1" fillId="39" borderId="19" xfId="0" applyNumberFormat="1" applyFont="1" applyFill="1" applyBorder="1" applyAlignment="1" applyProtection="1">
      <alignment/>
      <protection/>
    </xf>
    <xf numFmtId="0" fontId="1" fillId="33" borderId="10" xfId="0" applyFont="1" applyFill="1" applyBorder="1" applyAlignment="1" applyProtection="1">
      <alignment/>
      <protection/>
    </xf>
    <xf numFmtId="0" fontId="1" fillId="33" borderId="15" xfId="0" applyFont="1" applyFill="1" applyBorder="1" applyAlignment="1" applyProtection="1">
      <alignment horizontal="center"/>
      <protection/>
    </xf>
    <xf numFmtId="0" fontId="1" fillId="33" borderId="19" xfId="0" applyFont="1" applyFill="1" applyBorder="1" applyAlignment="1" applyProtection="1">
      <alignment horizontal="center"/>
      <protection/>
    </xf>
    <xf numFmtId="0" fontId="1" fillId="0" borderId="0" xfId="0" applyFont="1" applyFill="1" applyAlignment="1">
      <alignment/>
    </xf>
    <xf numFmtId="0" fontId="1" fillId="0" borderId="0" xfId="0" applyFont="1" applyAlignment="1">
      <alignment/>
    </xf>
    <xf numFmtId="176" fontId="0" fillId="0" borderId="0" xfId="0" applyNumberFormat="1" applyAlignment="1">
      <alignment/>
    </xf>
    <xf numFmtId="13" fontId="0" fillId="34" borderId="0" xfId="0" applyNumberFormat="1" applyFill="1" applyAlignment="1">
      <alignment horizontal="center"/>
    </xf>
    <xf numFmtId="13" fontId="0" fillId="34" borderId="0" xfId="0" applyNumberFormat="1" applyFill="1" applyBorder="1" applyAlignment="1">
      <alignment horizontal="left"/>
    </xf>
    <xf numFmtId="176" fontId="0" fillId="34" borderId="0" xfId="0" applyNumberFormat="1" applyFill="1" applyAlignment="1">
      <alignment/>
    </xf>
    <xf numFmtId="0" fontId="0" fillId="34" borderId="0" xfId="0" applyFill="1" applyAlignment="1">
      <alignment/>
    </xf>
    <xf numFmtId="176" fontId="0" fillId="34" borderId="0" xfId="0" applyNumberFormat="1" applyFill="1" applyAlignment="1">
      <alignment horizontal="center"/>
    </xf>
    <xf numFmtId="14" fontId="0" fillId="34" borderId="0" xfId="0" applyNumberFormat="1" applyFill="1" applyAlignment="1">
      <alignment/>
    </xf>
    <xf numFmtId="14" fontId="0" fillId="34" borderId="0" xfId="0" applyNumberFormat="1" applyFill="1" applyAlignment="1">
      <alignment horizontal="center"/>
    </xf>
    <xf numFmtId="0" fontId="0" fillId="34" borderId="20" xfId="0" applyFill="1" applyBorder="1" applyAlignment="1">
      <alignment horizontal="center"/>
    </xf>
    <xf numFmtId="0" fontId="37" fillId="34" borderId="0" xfId="0" applyFont="1" applyFill="1" applyAlignment="1">
      <alignment/>
    </xf>
    <xf numFmtId="0" fontId="17" fillId="0" borderId="11" xfId="0" applyFont="1" applyBorder="1" applyAlignment="1">
      <alignment horizontal="center"/>
    </xf>
    <xf numFmtId="166" fontId="0" fillId="0" borderId="0" xfId="0" applyNumberFormat="1" applyBorder="1" applyAlignment="1">
      <alignment/>
    </xf>
    <xf numFmtId="194" fontId="0" fillId="0" borderId="30" xfId="0" applyNumberFormat="1" applyBorder="1" applyAlignment="1">
      <alignment horizontal="center"/>
    </xf>
    <xf numFmtId="0" fontId="0" fillId="0" borderId="33" xfId="0" applyBorder="1" applyAlignment="1">
      <alignment horizontal="center"/>
    </xf>
    <xf numFmtId="167" fontId="0" fillId="0" borderId="34" xfId="0" applyNumberFormat="1" applyBorder="1" applyAlignment="1">
      <alignment horizontal="center"/>
    </xf>
    <xf numFmtId="0" fontId="0" fillId="0" borderId="35" xfId="0" applyBorder="1" applyAlignment="1">
      <alignment horizontal="center"/>
    </xf>
    <xf numFmtId="167" fontId="0" fillId="0" borderId="31" xfId="0" applyNumberForma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5" xfId="0" applyBorder="1" applyAlignment="1">
      <alignment horizontal="center"/>
    </xf>
    <xf numFmtId="0" fontId="17" fillId="0" borderId="12" xfId="0" applyFont="1" applyBorder="1" applyAlignment="1">
      <alignment/>
    </xf>
    <xf numFmtId="0" fontId="0" fillId="0" borderId="12" xfId="0" applyBorder="1" applyAlignment="1">
      <alignment/>
    </xf>
    <xf numFmtId="10" fontId="0" fillId="0" borderId="0" xfId="0" applyNumberFormat="1" applyBorder="1" applyAlignment="1">
      <alignment/>
    </xf>
    <xf numFmtId="14" fontId="0" fillId="0" borderId="0" xfId="0" applyNumberFormat="1" applyFill="1" applyBorder="1" applyAlignment="1">
      <alignment/>
    </xf>
    <xf numFmtId="0" fontId="17" fillId="0" borderId="10" xfId="0" applyFont="1" applyBorder="1" applyAlignment="1">
      <alignment/>
    </xf>
    <xf numFmtId="10" fontId="17" fillId="0" borderId="14" xfId="0" applyNumberFormat="1" applyFont="1" applyBorder="1" applyAlignment="1">
      <alignment/>
    </xf>
    <xf numFmtId="10" fontId="17" fillId="0" borderId="15" xfId="0" applyNumberFormat="1" applyFont="1" applyBorder="1" applyAlignment="1">
      <alignment/>
    </xf>
    <xf numFmtId="0" fontId="17" fillId="0" borderId="12" xfId="0" applyFont="1" applyFill="1" applyBorder="1" applyAlignment="1">
      <alignment/>
    </xf>
    <xf numFmtId="0" fontId="17" fillId="0" borderId="17" xfId="0" applyFont="1" applyFill="1" applyBorder="1" applyAlignment="1">
      <alignment/>
    </xf>
    <xf numFmtId="0" fontId="17" fillId="0" borderId="18" xfId="0" applyFont="1" applyBorder="1" applyAlignment="1">
      <alignment/>
    </xf>
    <xf numFmtId="10" fontId="17" fillId="0" borderId="19" xfId="0" applyNumberFormat="1" applyFont="1" applyBorder="1" applyAlignment="1">
      <alignment/>
    </xf>
    <xf numFmtId="0" fontId="17" fillId="0" borderId="0" xfId="0" applyFont="1" applyAlignment="1">
      <alignment horizontal="center"/>
    </xf>
    <xf numFmtId="3" fontId="17" fillId="0" borderId="0" xfId="0" applyNumberFormat="1" applyFont="1" applyAlignment="1">
      <alignment horizontal="center"/>
    </xf>
    <xf numFmtId="14" fontId="1" fillId="0" borderId="0" xfId="0" applyNumberFormat="1" applyFont="1" applyFill="1" applyBorder="1" applyAlignment="1">
      <alignment/>
    </xf>
    <xf numFmtId="0" fontId="0" fillId="0" borderId="0" xfId="0" applyFill="1" applyBorder="1" applyAlignment="1">
      <alignment horizontal="center"/>
    </xf>
    <xf numFmtId="0" fontId="0" fillId="34" borderId="13" xfId="0" applyFill="1" applyBorder="1" applyAlignment="1">
      <alignment horizontal="left"/>
    </xf>
    <xf numFmtId="3" fontId="0" fillId="34" borderId="22" xfId="0" applyNumberFormat="1" applyFill="1" applyBorder="1" applyAlignment="1">
      <alignment/>
    </xf>
    <xf numFmtId="0" fontId="0" fillId="34" borderId="12" xfId="0" applyFill="1" applyBorder="1" applyAlignment="1">
      <alignment/>
    </xf>
    <xf numFmtId="0" fontId="0" fillId="34" borderId="18" xfId="0" applyFill="1" applyBorder="1" applyAlignment="1">
      <alignment/>
    </xf>
    <xf numFmtId="202" fontId="18" fillId="0" borderId="0" xfId="0" applyNumberFormat="1" applyFont="1" applyFill="1" applyAlignment="1">
      <alignment horizontal="left"/>
    </xf>
    <xf numFmtId="0" fontId="38" fillId="0" borderId="0" xfId="0" applyFont="1" applyAlignment="1">
      <alignment/>
    </xf>
    <xf numFmtId="0" fontId="38" fillId="34" borderId="0" xfId="0" applyFont="1" applyFill="1" applyAlignment="1">
      <alignment/>
    </xf>
    <xf numFmtId="0" fontId="0" fillId="34" borderId="0" xfId="0" applyFill="1" applyAlignment="1">
      <alignment horizontal="right"/>
    </xf>
    <xf numFmtId="1" fontId="0" fillId="34" borderId="13" xfId="0" applyNumberFormat="1" applyFill="1" applyBorder="1" applyAlignment="1">
      <alignment/>
    </xf>
    <xf numFmtId="3" fontId="2" fillId="34" borderId="16" xfId="0" applyNumberFormat="1" applyFont="1" applyFill="1" applyBorder="1" applyAlignment="1">
      <alignment/>
    </xf>
    <xf numFmtId="3" fontId="1" fillId="41" borderId="13" xfId="0" applyNumberFormat="1" applyFont="1" applyFill="1" applyBorder="1" applyAlignment="1">
      <alignment/>
    </xf>
    <xf numFmtId="0" fontId="4" fillId="34" borderId="0" xfId="0" applyFont="1" applyFill="1" applyAlignment="1">
      <alignment/>
    </xf>
    <xf numFmtId="0" fontId="1" fillId="34" borderId="0" xfId="0" applyFont="1" applyFill="1" applyBorder="1" applyAlignment="1">
      <alignment/>
    </xf>
    <xf numFmtId="0" fontId="17" fillId="34" borderId="13" xfId="0" applyFont="1" applyFill="1" applyBorder="1" applyAlignment="1">
      <alignment/>
    </xf>
    <xf numFmtId="3" fontId="24" fillId="34" borderId="0" xfId="0" applyNumberFormat="1" applyFont="1" applyFill="1" applyBorder="1" applyAlignment="1">
      <alignment horizontal="center"/>
    </xf>
    <xf numFmtId="0" fontId="24" fillId="34" borderId="0" xfId="0" applyFont="1" applyFill="1" applyBorder="1" applyAlignment="1">
      <alignment/>
    </xf>
    <xf numFmtId="0" fontId="24" fillId="34" borderId="12" xfId="0" applyFont="1" applyFill="1" applyBorder="1" applyAlignment="1">
      <alignment/>
    </xf>
    <xf numFmtId="3" fontId="1" fillId="34" borderId="13" xfId="0" applyNumberFormat="1" applyFont="1" applyFill="1" applyBorder="1" applyAlignment="1">
      <alignment horizontal="right"/>
    </xf>
    <xf numFmtId="0" fontId="4" fillId="34" borderId="13" xfId="0" applyFont="1" applyFill="1" applyBorder="1" applyAlignment="1">
      <alignment/>
    </xf>
    <xf numFmtId="0" fontId="0" fillId="34" borderId="32" xfId="0" applyFill="1" applyBorder="1" applyAlignment="1">
      <alignment horizontal="right"/>
    </xf>
    <xf numFmtId="3" fontId="0" fillId="34" borderId="28" xfId="0" applyNumberFormat="1" applyFill="1" applyBorder="1" applyAlignment="1">
      <alignment/>
    </xf>
    <xf numFmtId="0" fontId="23" fillId="34" borderId="0" xfId="0" applyFont="1" applyFill="1" applyAlignment="1">
      <alignment/>
    </xf>
    <xf numFmtId="0" fontId="39" fillId="38" borderId="0" xfId="0" applyFont="1" applyFill="1" applyAlignment="1" applyProtection="1">
      <alignment/>
      <protection/>
    </xf>
    <xf numFmtId="3" fontId="0" fillId="34" borderId="10" xfId="0" applyNumberFormat="1" applyFill="1" applyBorder="1" applyAlignment="1" applyProtection="1">
      <alignment horizontal="center"/>
      <protection locked="0"/>
    </xf>
    <xf numFmtId="3" fontId="0" fillId="34" borderId="11" xfId="0" applyNumberFormat="1" applyFill="1" applyBorder="1" applyAlignment="1" applyProtection="1">
      <alignment horizontal="center"/>
      <protection locked="0"/>
    </xf>
    <xf numFmtId="3" fontId="0" fillId="34" borderId="14" xfId="0" applyNumberFormat="1" applyFill="1" applyBorder="1" applyAlignment="1" applyProtection="1">
      <alignment horizontal="center"/>
      <protection locked="0"/>
    </xf>
    <xf numFmtId="3" fontId="0" fillId="34" borderId="12" xfId="0" applyNumberFormat="1" applyFill="1" applyBorder="1" applyAlignment="1" applyProtection="1">
      <alignment horizontal="center"/>
      <protection locked="0"/>
    </xf>
    <xf numFmtId="3" fontId="0" fillId="34" borderId="0" xfId="0" applyNumberFormat="1" applyFill="1" applyBorder="1" applyAlignment="1" applyProtection="1">
      <alignment horizontal="center"/>
      <protection locked="0"/>
    </xf>
    <xf numFmtId="3" fontId="0" fillId="34" borderId="15" xfId="0" applyNumberFormat="1" applyFill="1" applyBorder="1" applyAlignment="1" applyProtection="1">
      <alignment horizontal="center"/>
      <protection locked="0"/>
    </xf>
    <xf numFmtId="3" fontId="0" fillId="34" borderId="17" xfId="0" applyNumberFormat="1" applyFill="1" applyBorder="1" applyAlignment="1" applyProtection="1">
      <alignment horizontal="center"/>
      <protection locked="0"/>
    </xf>
    <xf numFmtId="3" fontId="0" fillId="34" borderId="18" xfId="0" applyNumberFormat="1" applyFill="1" applyBorder="1" applyAlignment="1" applyProtection="1">
      <alignment horizontal="center"/>
      <protection locked="0"/>
    </xf>
    <xf numFmtId="3" fontId="0" fillId="34" borderId="19" xfId="0" applyNumberFormat="1" applyFill="1" applyBorder="1" applyAlignment="1" applyProtection="1">
      <alignment horizontal="center"/>
      <protection locked="0"/>
    </xf>
    <xf numFmtId="0" fontId="23" fillId="33" borderId="0" xfId="0" applyFont="1" applyFill="1" applyAlignment="1" applyProtection="1">
      <alignment/>
      <protection/>
    </xf>
    <xf numFmtId="0" fontId="23" fillId="38" borderId="0" xfId="0" applyFont="1" applyFill="1" applyAlignment="1" applyProtection="1">
      <alignment/>
      <protection/>
    </xf>
    <xf numFmtId="3" fontId="0" fillId="34" borderId="12" xfId="0" applyNumberFormat="1" applyFill="1" applyBorder="1" applyAlignment="1" applyProtection="1">
      <alignment horizontal="center"/>
      <protection/>
    </xf>
    <xf numFmtId="3" fontId="0" fillId="34" borderId="0" xfId="0" applyNumberFormat="1" applyFill="1" applyBorder="1" applyAlignment="1" applyProtection="1">
      <alignment horizontal="center"/>
      <protection/>
    </xf>
    <xf numFmtId="3" fontId="0" fillId="34" borderId="15" xfId="0" applyNumberFormat="1" applyFill="1" applyBorder="1" applyAlignment="1" applyProtection="1">
      <alignment horizontal="center"/>
      <protection/>
    </xf>
    <xf numFmtId="3" fontId="0" fillId="34" borderId="17" xfId="0" applyNumberFormat="1" applyFill="1" applyBorder="1" applyAlignment="1" applyProtection="1">
      <alignment horizontal="center"/>
      <protection/>
    </xf>
    <xf numFmtId="3" fontId="0" fillId="34" borderId="18" xfId="0" applyNumberFormat="1" applyFill="1" applyBorder="1" applyAlignment="1" applyProtection="1">
      <alignment horizontal="center"/>
      <protection/>
    </xf>
    <xf numFmtId="3" fontId="0" fillId="34" borderId="19" xfId="0" applyNumberFormat="1" applyFill="1" applyBorder="1" applyAlignment="1" applyProtection="1">
      <alignment horizontal="center"/>
      <protection/>
    </xf>
    <xf numFmtId="3" fontId="2" fillId="34" borderId="0" xfId="0" applyNumberFormat="1" applyFont="1" applyFill="1" applyBorder="1" applyAlignment="1">
      <alignment/>
    </xf>
    <xf numFmtId="6" fontId="31" fillId="34" borderId="0" xfId="0" applyNumberFormat="1" applyFont="1" applyFill="1" applyAlignment="1">
      <alignment horizontal="left"/>
    </xf>
    <xf numFmtId="6" fontId="31" fillId="34" borderId="0" xfId="0" applyNumberFormat="1" applyFont="1" applyFill="1" applyAlignment="1">
      <alignment horizontal="center"/>
    </xf>
    <xf numFmtId="3" fontId="1" fillId="34" borderId="0" xfId="0" applyNumberFormat="1" applyFont="1" applyFill="1" applyAlignment="1">
      <alignment/>
    </xf>
    <xf numFmtId="3" fontId="1" fillId="34" borderId="0" xfId="0" applyNumberFormat="1" applyFont="1" applyFill="1" applyAlignment="1">
      <alignment horizontal="left"/>
    </xf>
    <xf numFmtId="1" fontId="1" fillId="35" borderId="13" xfId="0" applyNumberFormat="1" applyFont="1" applyFill="1" applyBorder="1" applyAlignment="1" applyProtection="1">
      <alignment horizontal="center"/>
      <protection locked="0"/>
    </xf>
    <xf numFmtId="3" fontId="17" fillId="34" borderId="0" xfId="0" applyNumberFormat="1" applyFont="1" applyFill="1" applyBorder="1" applyAlignment="1">
      <alignment horizontal="center"/>
    </xf>
    <xf numFmtId="3" fontId="17" fillId="38" borderId="0" xfId="0" applyNumberFormat="1" applyFont="1" applyFill="1" applyBorder="1" applyAlignment="1">
      <alignment/>
    </xf>
    <xf numFmtId="3" fontId="17" fillId="38" borderId="0" xfId="0" applyNumberFormat="1" applyFont="1" applyFill="1" applyBorder="1" applyAlignment="1">
      <alignment horizontal="right"/>
    </xf>
    <xf numFmtId="3" fontId="18" fillId="38" borderId="0" xfId="0" applyNumberFormat="1" applyFont="1" applyFill="1" applyBorder="1" applyAlignment="1">
      <alignment horizontal="center"/>
    </xf>
    <xf numFmtId="203" fontId="17" fillId="0" borderId="0" xfId="0" applyNumberFormat="1" applyFont="1" applyFill="1" applyAlignment="1">
      <alignment/>
    </xf>
    <xf numFmtId="0" fontId="18" fillId="0" borderId="0" xfId="0" applyFont="1" applyAlignment="1">
      <alignment/>
    </xf>
    <xf numFmtId="206" fontId="18" fillId="0" borderId="0" xfId="0" applyNumberFormat="1" applyFont="1" applyAlignment="1">
      <alignment/>
    </xf>
    <xf numFmtId="207" fontId="17" fillId="0" borderId="0" xfId="0" applyNumberFormat="1" applyFont="1" applyAlignment="1">
      <alignment/>
    </xf>
    <xf numFmtId="0" fontId="40" fillId="34" borderId="0" xfId="0" applyFont="1" applyFill="1" applyAlignment="1">
      <alignment/>
    </xf>
    <xf numFmtId="3" fontId="17" fillId="0" borderId="0" xfId="0" applyNumberFormat="1" applyFont="1" applyAlignment="1">
      <alignment/>
    </xf>
    <xf numFmtId="3" fontId="37" fillId="0" borderId="0" xfId="0" applyNumberFormat="1" applyFont="1" applyAlignment="1">
      <alignment/>
    </xf>
    <xf numFmtId="0" fontId="37" fillId="0" borderId="0" xfId="0" applyFont="1" applyAlignment="1">
      <alignment/>
    </xf>
    <xf numFmtId="206" fontId="37" fillId="0" borderId="0" xfId="0" applyNumberFormat="1" applyFont="1" applyAlignment="1">
      <alignment/>
    </xf>
    <xf numFmtId="0" fontId="41" fillId="0" borderId="0" xfId="0" applyFont="1" applyFill="1" applyAlignment="1">
      <alignment/>
    </xf>
    <xf numFmtId="0" fontId="37" fillId="34" borderId="0" xfId="0" applyFont="1" applyFill="1" applyAlignment="1">
      <alignment horizontal="center"/>
    </xf>
    <xf numFmtId="3" fontId="4" fillId="34" borderId="13" xfId="0" applyNumberFormat="1" applyFont="1" applyFill="1" applyBorder="1" applyAlignment="1">
      <alignment/>
    </xf>
    <xf numFmtId="3" fontId="1" fillId="34" borderId="13" xfId="0" applyNumberFormat="1" applyFont="1" applyFill="1" applyBorder="1" applyAlignment="1">
      <alignment/>
    </xf>
    <xf numFmtId="13" fontId="1" fillId="34" borderId="0" xfId="0" applyNumberFormat="1" applyFont="1" applyFill="1" applyAlignment="1">
      <alignment horizontal="center"/>
    </xf>
    <xf numFmtId="176" fontId="1" fillId="0" borderId="13" xfId="0" applyNumberFormat="1" applyFont="1" applyFill="1" applyBorder="1" applyAlignment="1" applyProtection="1">
      <alignment horizontal="center"/>
      <protection locked="0"/>
    </xf>
    <xf numFmtId="0" fontId="12" fillId="34" borderId="0" xfId="0" applyFont="1" applyFill="1" applyBorder="1" applyAlignment="1">
      <alignment horizontal="center"/>
    </xf>
    <xf numFmtId="3" fontId="1" fillId="34" borderId="13" xfId="0" applyNumberFormat="1" applyFont="1" applyFill="1" applyBorder="1" applyAlignment="1">
      <alignment horizontal="center"/>
    </xf>
    <xf numFmtId="0" fontId="1" fillId="34" borderId="13" xfId="0" applyFont="1" applyFill="1" applyBorder="1" applyAlignment="1" applyProtection="1">
      <alignment horizontal="center"/>
      <protection/>
    </xf>
    <xf numFmtId="3" fontId="1" fillId="34" borderId="13" xfId="0" applyNumberFormat="1" applyFont="1" applyFill="1" applyBorder="1" applyAlignment="1" applyProtection="1">
      <alignment horizontal="center"/>
      <protection/>
    </xf>
    <xf numFmtId="3" fontId="1" fillId="0" borderId="13" xfId="0" applyNumberFormat="1" applyFont="1" applyFill="1" applyBorder="1" applyAlignment="1" applyProtection="1">
      <alignment/>
      <protection locked="0"/>
    </xf>
    <xf numFmtId="13" fontId="1" fillId="34" borderId="13" xfId="0" applyNumberFormat="1" applyFont="1" applyFill="1" applyBorder="1" applyAlignment="1">
      <alignment horizontal="center"/>
    </xf>
    <xf numFmtId="10" fontId="1" fillId="34" borderId="13" xfId="0" applyNumberFormat="1" applyFont="1" applyFill="1" applyBorder="1" applyAlignment="1">
      <alignment horizontal="center"/>
    </xf>
    <xf numFmtId="3" fontId="1" fillId="34" borderId="20" xfId="0" applyNumberFormat="1" applyFont="1" applyFill="1" applyBorder="1" applyAlignment="1">
      <alignment horizontal="center"/>
    </xf>
    <xf numFmtId="203" fontId="1" fillId="34" borderId="0" xfId="0" applyNumberFormat="1" applyFont="1" applyFill="1" applyAlignment="1">
      <alignment horizontal="center"/>
    </xf>
    <xf numFmtId="1" fontId="1" fillId="34" borderId="0" xfId="0" applyNumberFormat="1" applyFont="1" applyFill="1" applyBorder="1" applyAlignment="1">
      <alignment horizontal="center"/>
    </xf>
    <xf numFmtId="3" fontId="4" fillId="34" borderId="22" xfId="0" applyNumberFormat="1" applyFont="1" applyFill="1" applyBorder="1" applyAlignment="1">
      <alignment/>
    </xf>
    <xf numFmtId="3" fontId="4" fillId="34" borderId="16" xfId="0" applyNumberFormat="1" applyFont="1" applyFill="1" applyBorder="1" applyAlignment="1">
      <alignment horizontal="center"/>
    </xf>
    <xf numFmtId="176" fontId="1" fillId="34" borderId="15" xfId="0" applyNumberFormat="1" applyFont="1" applyFill="1" applyBorder="1" applyAlignment="1">
      <alignment horizontal="left"/>
    </xf>
    <xf numFmtId="3" fontId="1" fillId="34" borderId="0" xfId="0" applyNumberFormat="1" applyFont="1" applyFill="1" applyBorder="1" applyAlignment="1">
      <alignment/>
    </xf>
    <xf numFmtId="3" fontId="1" fillId="34" borderId="0" xfId="0" applyNumberFormat="1" applyFont="1" applyFill="1" applyAlignment="1">
      <alignment horizontal="center"/>
    </xf>
    <xf numFmtId="3" fontId="1" fillId="34" borderId="13" xfId="0" applyNumberFormat="1" applyFont="1" applyFill="1" applyBorder="1" applyAlignment="1">
      <alignment horizontal="right"/>
    </xf>
    <xf numFmtId="3" fontId="1" fillId="34" borderId="0" xfId="0" applyNumberFormat="1" applyFont="1" applyFill="1" applyBorder="1" applyAlignment="1">
      <alignment horizontal="center"/>
    </xf>
    <xf numFmtId="0" fontId="1" fillId="34" borderId="0" xfId="0" applyFont="1" applyFill="1" applyBorder="1" applyAlignment="1">
      <alignment horizontal="right"/>
    </xf>
    <xf numFmtId="0" fontId="3" fillId="34" borderId="0" xfId="0" applyFont="1" applyFill="1" applyAlignment="1">
      <alignment/>
    </xf>
    <xf numFmtId="0" fontId="1" fillId="34" borderId="0" xfId="0" applyFont="1" applyFill="1" applyAlignment="1">
      <alignment horizontal="right"/>
    </xf>
    <xf numFmtId="0" fontId="4" fillId="34" borderId="21" xfId="0" applyFont="1" applyFill="1" applyBorder="1" applyAlignment="1">
      <alignment/>
    </xf>
    <xf numFmtId="0" fontId="4" fillId="34" borderId="39" xfId="0" applyFont="1" applyFill="1" applyBorder="1" applyAlignment="1">
      <alignment/>
    </xf>
    <xf numFmtId="0" fontId="0" fillId="0" borderId="0" xfId="0" applyFill="1" applyBorder="1" applyAlignment="1">
      <alignment horizontal="left"/>
    </xf>
    <xf numFmtId="0" fontId="1" fillId="0" borderId="0" xfId="0" applyFont="1" applyFill="1" applyAlignment="1">
      <alignment/>
    </xf>
    <xf numFmtId="0" fontId="24" fillId="0" borderId="0" xfId="0"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right"/>
    </xf>
    <xf numFmtId="3" fontId="17" fillId="0" borderId="0" xfId="0" applyNumberFormat="1" applyFont="1" applyFill="1" applyBorder="1" applyAlignment="1">
      <alignment/>
    </xf>
    <xf numFmtId="3" fontId="18" fillId="0" borderId="0" xfId="0" applyNumberFormat="1" applyFont="1" applyFill="1" applyBorder="1" applyAlignment="1">
      <alignment horizontal="center"/>
    </xf>
    <xf numFmtId="3" fontId="0" fillId="0" borderId="0" xfId="0" applyNumberFormat="1" applyFill="1" applyAlignment="1">
      <alignment/>
    </xf>
    <xf numFmtId="0" fontId="1" fillId="0" borderId="0" xfId="0" applyFont="1" applyFill="1" applyAlignment="1">
      <alignment horizontal="right"/>
    </xf>
    <xf numFmtId="3" fontId="17" fillId="0" borderId="0" xfId="0" applyNumberFormat="1" applyFont="1" applyFill="1" applyBorder="1" applyAlignment="1">
      <alignment horizontal="right"/>
    </xf>
    <xf numFmtId="3" fontId="31" fillId="34" borderId="13" xfId="0" applyNumberFormat="1" applyFont="1" applyFill="1" applyBorder="1" applyAlignment="1">
      <alignment horizontal="center"/>
    </xf>
    <xf numFmtId="0" fontId="18" fillId="34" borderId="21" xfId="0" applyFont="1" applyFill="1" applyBorder="1" applyAlignment="1">
      <alignment/>
    </xf>
    <xf numFmtId="0" fontId="0" fillId="34" borderId="31" xfId="0" applyFont="1" applyFill="1" applyBorder="1" applyAlignment="1">
      <alignment horizontal="right"/>
    </xf>
    <xf numFmtId="3" fontId="17" fillId="34" borderId="13" xfId="0" applyNumberFormat="1" applyFont="1" applyFill="1" applyBorder="1" applyAlignment="1">
      <alignment horizontal="right"/>
    </xf>
    <xf numFmtId="0" fontId="22" fillId="34" borderId="0" xfId="0" applyFont="1" applyFill="1" applyAlignment="1">
      <alignment/>
    </xf>
    <xf numFmtId="3" fontId="11" fillId="34" borderId="0" xfId="0" applyNumberFormat="1" applyFont="1" applyFill="1" applyBorder="1" applyAlignment="1">
      <alignment/>
    </xf>
    <xf numFmtId="0" fontId="11" fillId="34" borderId="0" xfId="0" applyFont="1" applyFill="1" applyAlignment="1">
      <alignment/>
    </xf>
    <xf numFmtId="3" fontId="11" fillId="34" borderId="0" xfId="0" applyNumberFormat="1" applyFont="1" applyFill="1" applyAlignment="1">
      <alignment/>
    </xf>
    <xf numFmtId="3" fontId="4" fillId="34" borderId="27" xfId="0" applyNumberFormat="1" applyFont="1" applyFill="1" applyBorder="1" applyAlignment="1">
      <alignment horizontal="center"/>
    </xf>
    <xf numFmtId="0" fontId="5" fillId="34" borderId="20" xfId="0" applyFont="1" applyFill="1" applyBorder="1" applyAlignment="1">
      <alignment horizontal="center"/>
    </xf>
    <xf numFmtId="3" fontId="11" fillId="0" borderId="0" xfId="0" applyNumberFormat="1" applyFont="1" applyFill="1" applyAlignment="1">
      <alignment/>
    </xf>
    <xf numFmtId="0" fontId="3" fillId="34" borderId="0" xfId="0" applyFont="1" applyFill="1" applyAlignment="1">
      <alignment/>
    </xf>
    <xf numFmtId="3" fontId="17" fillId="0" borderId="0" xfId="0" applyNumberFormat="1" applyFont="1" applyFill="1" applyAlignment="1">
      <alignment/>
    </xf>
    <xf numFmtId="0" fontId="18" fillId="0" borderId="0" xfId="0" applyFont="1" applyAlignment="1">
      <alignment horizontal="center"/>
    </xf>
    <xf numFmtId="3" fontId="11" fillId="0" borderId="0" xfId="0" applyNumberFormat="1" applyFont="1" applyAlignment="1">
      <alignment/>
    </xf>
    <xf numFmtId="3" fontId="1" fillId="0" borderId="0" xfId="0" applyNumberFormat="1" applyFont="1" applyFill="1" applyBorder="1" applyAlignment="1">
      <alignment horizontal="left"/>
    </xf>
    <xf numFmtId="3" fontId="4" fillId="39" borderId="0" xfId="0" applyNumberFormat="1" applyFont="1" applyFill="1" applyAlignment="1" applyProtection="1">
      <alignment/>
      <protection/>
    </xf>
    <xf numFmtId="14" fontId="1" fillId="34" borderId="12" xfId="0" applyNumberFormat="1" applyFont="1" applyFill="1" applyBorder="1" applyAlignment="1">
      <alignment/>
    </xf>
    <xf numFmtId="14" fontId="1" fillId="34" borderId="15" xfId="0" applyNumberFormat="1" applyFont="1" applyFill="1" applyBorder="1" applyAlignment="1">
      <alignment/>
    </xf>
    <xf numFmtId="176" fontId="1" fillId="34" borderId="12" xfId="0" applyNumberFormat="1" applyFont="1" applyFill="1" applyBorder="1" applyAlignment="1">
      <alignment horizontal="center"/>
    </xf>
    <xf numFmtId="176" fontId="1" fillId="34" borderId="15" xfId="0" applyNumberFormat="1" applyFont="1" applyFill="1" applyBorder="1" applyAlignment="1">
      <alignment horizontal="center"/>
    </xf>
    <xf numFmtId="0" fontId="1" fillId="34" borderId="17" xfId="0"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49" fontId="1" fillId="35" borderId="22" xfId="0" applyNumberFormat="1" applyFont="1" applyFill="1"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20" fontId="1" fillId="35" borderId="22" xfId="0" applyNumberFormat="1" applyFont="1" applyFill="1" applyBorder="1" applyAlignment="1" applyProtection="1">
      <alignment/>
      <protection locked="0"/>
    </xf>
    <xf numFmtId="0" fontId="1" fillId="35" borderId="22" xfId="0" applyFont="1" applyFill="1" applyBorder="1" applyAlignment="1" applyProtection="1">
      <alignment/>
      <protection locked="0"/>
    </xf>
    <xf numFmtId="168" fontId="1" fillId="34" borderId="17" xfId="0" applyNumberFormat="1" applyFont="1" applyFill="1" applyBorder="1" applyAlignment="1" applyProtection="1">
      <alignment/>
      <protection/>
    </xf>
    <xf numFmtId="0" fontId="0" fillId="34" borderId="18" xfId="0" applyFill="1" applyBorder="1" applyAlignment="1" applyProtection="1">
      <alignment/>
      <protection/>
    </xf>
    <xf numFmtId="10" fontId="3" fillId="34" borderId="10" xfId="0" applyNumberFormat="1" applyFont="1" applyFill="1" applyBorder="1" applyAlignment="1" applyProtection="1">
      <alignment/>
      <protection/>
    </xf>
    <xf numFmtId="0" fontId="31" fillId="0" borderId="11" xfId="0" applyFont="1" applyBorder="1" applyAlignment="1">
      <alignment/>
    </xf>
    <xf numFmtId="191" fontId="7" fillId="34" borderId="11" xfId="0" applyNumberFormat="1" applyFont="1" applyFill="1" applyBorder="1" applyAlignment="1" applyProtection="1">
      <alignment horizontal="left"/>
      <protection/>
    </xf>
    <xf numFmtId="191" fontId="0" fillId="0" borderId="14" xfId="0" applyNumberFormat="1" applyBorder="1" applyAlignment="1">
      <alignment horizontal="left"/>
    </xf>
    <xf numFmtId="0" fontId="1" fillId="35" borderId="17" xfId="0" applyFont="1" applyFill="1"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1" fillId="35" borderId="12" xfId="0" applyFont="1"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15" xfId="0" applyBorder="1" applyAlignment="1" applyProtection="1">
      <alignment horizontal="left"/>
      <protection locked="0"/>
    </xf>
    <xf numFmtId="177" fontId="7" fillId="34" borderId="18" xfId="0" applyNumberFormat="1" applyFont="1" applyFill="1" applyBorder="1" applyAlignment="1" applyProtection="1">
      <alignment horizontal="left"/>
      <protection/>
    </xf>
    <xf numFmtId="177" fontId="0" fillId="0" borderId="19" xfId="0" applyNumberFormat="1" applyBorder="1" applyAlignment="1">
      <alignment horizontal="left"/>
    </xf>
    <xf numFmtId="0" fontId="1" fillId="35" borderId="10" xfId="0"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14" xfId="0" applyBorder="1" applyAlignment="1" applyProtection="1">
      <alignment horizontal="left"/>
      <protection locked="0"/>
    </xf>
    <xf numFmtId="167" fontId="1" fillId="34" borderId="0" xfId="0" applyNumberFormat="1" applyFont="1" applyFill="1" applyAlignment="1" applyProtection="1">
      <alignment horizontal="left"/>
      <protection/>
    </xf>
    <xf numFmtId="167" fontId="0" fillId="0" borderId="0" xfId="0" applyNumberFormat="1" applyAlignment="1">
      <alignment/>
    </xf>
    <xf numFmtId="10" fontId="3" fillId="34" borderId="17" xfId="0" applyNumberFormat="1" applyFont="1" applyFill="1" applyBorder="1" applyAlignment="1" applyProtection="1">
      <alignment/>
      <protection/>
    </xf>
    <xf numFmtId="0" fontId="31" fillId="0" borderId="18" xfId="0" applyFont="1" applyBorder="1" applyAlignment="1">
      <alignment/>
    </xf>
    <xf numFmtId="167" fontId="1" fillId="34" borderId="11" xfId="0" applyNumberFormat="1" applyFont="1" applyFill="1" applyBorder="1" applyAlignment="1" applyProtection="1">
      <alignment horizontal="left"/>
      <protection/>
    </xf>
    <xf numFmtId="167" fontId="0" fillId="0" borderId="11" xfId="0" applyNumberFormat="1" applyBorder="1" applyAlignment="1">
      <alignment horizontal="left"/>
    </xf>
    <xf numFmtId="0" fontId="17" fillId="34" borderId="22" xfId="0" applyNumberFormat="1" applyFont="1" applyFill="1" applyBorder="1" applyAlignment="1" applyProtection="1">
      <alignment/>
      <protection/>
    </xf>
    <xf numFmtId="0" fontId="17" fillId="34" borderId="23" xfId="0" applyNumberFormat="1" applyFont="1" applyFill="1" applyBorder="1" applyAlignment="1" applyProtection="1">
      <alignment/>
      <protection/>
    </xf>
    <xf numFmtId="0" fontId="17" fillId="34" borderId="24" xfId="0" applyNumberFormat="1" applyFont="1" applyFill="1" applyBorder="1" applyAlignment="1" applyProtection="1">
      <alignment/>
      <protection/>
    </xf>
    <xf numFmtId="0" fontId="17" fillId="34" borderId="22" xfId="0" applyFont="1" applyFill="1" applyBorder="1" applyAlignment="1" applyProtection="1">
      <alignment/>
      <protection/>
    </xf>
    <xf numFmtId="0" fontId="17" fillId="34" borderId="23" xfId="0" applyFont="1" applyFill="1" applyBorder="1" applyAlignment="1" applyProtection="1">
      <alignment/>
      <protection/>
    </xf>
    <xf numFmtId="0" fontId="17" fillId="34" borderId="24" xfId="0" applyFont="1" applyFill="1" applyBorder="1" applyAlignment="1" applyProtection="1">
      <alignment/>
      <protection/>
    </xf>
    <xf numFmtId="167" fontId="1" fillId="34" borderId="0" xfId="0" applyNumberFormat="1" applyFont="1" applyFill="1" applyAlignment="1">
      <alignment horizontal="left"/>
    </xf>
    <xf numFmtId="0" fontId="0" fillId="0" borderId="0" xfId="0" applyAlignment="1">
      <alignment/>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3" fontId="4" fillId="34" borderId="17" xfId="0" applyNumberFormat="1" applyFont="1" applyFill="1" applyBorder="1" applyAlignment="1">
      <alignment horizontal="center"/>
    </xf>
    <xf numFmtId="3" fontId="4" fillId="34" borderId="19" xfId="0" applyNumberFormat="1" applyFont="1" applyFill="1" applyBorder="1" applyAlignment="1">
      <alignment horizontal="center"/>
    </xf>
    <xf numFmtId="0" fontId="4" fillId="34" borderId="0" xfId="0" applyFont="1" applyFill="1" applyAlignment="1">
      <alignment horizontal="left"/>
    </xf>
    <xf numFmtId="0" fontId="1" fillId="34" borderId="22" xfId="0" applyFont="1" applyFill="1" applyBorder="1" applyAlignment="1">
      <alignment/>
    </xf>
    <xf numFmtId="0" fontId="1" fillId="0" borderId="23" xfId="0" applyFont="1" applyBorder="1" applyAlignment="1">
      <alignment/>
    </xf>
    <xf numFmtId="0" fontId="1" fillId="0" borderId="24" xfId="0" applyFont="1" applyBorder="1" applyAlignment="1">
      <alignment/>
    </xf>
    <xf numFmtId="184" fontId="1" fillId="34" borderId="18" xfId="0" applyNumberFormat="1" applyFont="1" applyFill="1" applyBorder="1" applyAlignment="1">
      <alignment horizontal="left"/>
    </xf>
    <xf numFmtId="184" fontId="1" fillId="0" borderId="19" xfId="0" applyNumberFormat="1" applyFont="1" applyBorder="1" applyAlignment="1">
      <alignment horizontal="left"/>
    </xf>
    <xf numFmtId="3" fontId="4" fillId="34" borderId="10" xfId="0" applyNumberFormat="1" applyFont="1" applyFill="1" applyBorder="1" applyAlignment="1">
      <alignment horizontal="center"/>
    </xf>
    <xf numFmtId="3" fontId="4" fillId="34" borderId="14" xfId="0" applyNumberFormat="1" applyFont="1" applyFill="1" applyBorder="1" applyAlignment="1">
      <alignment horizontal="center"/>
    </xf>
    <xf numFmtId="0" fontId="1" fillId="34" borderId="0" xfId="0" applyFont="1" applyFill="1" applyAlignment="1">
      <alignment horizontal="right"/>
    </xf>
    <xf numFmtId="0" fontId="1" fillId="0" borderId="0" xfId="0" applyFont="1" applyAlignment="1">
      <alignment horizontal="right"/>
    </xf>
    <xf numFmtId="0" fontId="1" fillId="0" borderId="12"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1" fillId="0" borderId="15" xfId="0" applyFont="1" applyFill="1" applyBorder="1" applyAlignment="1" applyProtection="1">
      <alignment horizontal="left"/>
      <protection locked="0"/>
    </xf>
    <xf numFmtId="0" fontId="1" fillId="0" borderId="10"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183" fontId="1" fillId="34" borderId="11" xfId="0" applyNumberFormat="1" applyFont="1" applyFill="1" applyBorder="1" applyAlignment="1">
      <alignment horizontal="left"/>
    </xf>
    <xf numFmtId="183" fontId="1" fillId="0" borderId="14" xfId="0" applyNumberFormat="1" applyFont="1" applyBorder="1" applyAlignment="1">
      <alignment horizontal="left"/>
    </xf>
    <xf numFmtId="14" fontId="1" fillId="34" borderId="0" xfId="0" applyNumberFormat="1" applyFont="1" applyFill="1" applyAlignment="1">
      <alignment horizontal="left"/>
    </xf>
    <xf numFmtId="0" fontId="1" fillId="34" borderId="0" xfId="0" applyFont="1" applyFill="1" applyAlignment="1">
      <alignment horizontal="left"/>
    </xf>
    <xf numFmtId="0" fontId="4" fillId="34" borderId="23" xfId="0" applyFont="1" applyFill="1" applyBorder="1" applyAlignment="1">
      <alignment horizontal="center"/>
    </xf>
    <xf numFmtId="0" fontId="1" fillId="0" borderId="23" xfId="0" applyFont="1" applyBorder="1" applyAlignment="1">
      <alignment horizontal="center"/>
    </xf>
    <xf numFmtId="202" fontId="4" fillId="34" borderId="39" xfId="0" applyNumberFormat="1" applyFont="1" applyFill="1" applyBorder="1" applyAlignment="1">
      <alignment horizontal="center"/>
    </xf>
    <xf numFmtId="0" fontId="1" fillId="0" borderId="40" xfId="0" applyFont="1" applyBorder="1" applyAlignment="1">
      <alignment horizontal="center"/>
    </xf>
    <xf numFmtId="3" fontId="4" fillId="34" borderId="0" xfId="0" applyNumberFormat="1" applyFont="1" applyFill="1" applyAlignment="1">
      <alignment horizontal="center"/>
    </xf>
    <xf numFmtId="0" fontId="4" fillId="0" borderId="0" xfId="0" applyFont="1" applyAlignment="1">
      <alignment/>
    </xf>
    <xf numFmtId="14" fontId="1" fillId="34" borderId="11" xfId="0" applyNumberFormat="1" applyFont="1" applyFill="1" applyBorder="1" applyAlignment="1">
      <alignment horizontal="left"/>
    </xf>
    <xf numFmtId="0" fontId="0" fillId="0" borderId="11" xfId="0" applyBorder="1" applyAlignment="1">
      <alignment horizontal="left"/>
    </xf>
    <xf numFmtId="0" fontId="1" fillId="34" borderId="11" xfId="0" applyFont="1" applyFill="1" applyBorder="1" applyAlignment="1">
      <alignment horizontal="left"/>
    </xf>
    <xf numFmtId="0" fontId="1" fillId="34" borderId="0" xfId="0" applyFont="1" applyFill="1" applyAlignment="1">
      <alignment/>
    </xf>
    <xf numFmtId="0" fontId="0" fillId="0" borderId="15" xfId="0" applyBorder="1" applyAlignment="1">
      <alignment/>
    </xf>
    <xf numFmtId="0" fontId="1" fillId="0" borderId="17" xfId="0" applyFont="1" applyFill="1" applyBorder="1" applyAlignment="1" applyProtection="1">
      <alignment horizontal="left"/>
      <protection locked="0"/>
    </xf>
    <xf numFmtId="0" fontId="1" fillId="0" borderId="18" xfId="0" applyFont="1" applyFill="1" applyBorder="1" applyAlignment="1" applyProtection="1">
      <alignment horizontal="left"/>
      <protection locked="0"/>
    </xf>
    <xf numFmtId="0" fontId="1" fillId="0" borderId="19" xfId="0" applyFont="1" applyFill="1" applyBorder="1" applyAlignment="1" applyProtection="1">
      <alignment horizontal="left"/>
      <protection locked="0"/>
    </xf>
    <xf numFmtId="3" fontId="1" fillId="0" borderId="12" xfId="0" applyNumberFormat="1" applyFont="1" applyFill="1" applyBorder="1" applyAlignment="1" applyProtection="1">
      <alignment horizontal="left"/>
      <protection locked="0"/>
    </xf>
    <xf numFmtId="0" fontId="1" fillId="34" borderId="22" xfId="0" applyFont="1" applyFill="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17" fillId="35" borderId="10" xfId="0" applyFont="1" applyFill="1" applyBorder="1" applyAlignment="1" applyProtection="1">
      <alignment/>
      <protection locked="0"/>
    </xf>
    <xf numFmtId="0" fontId="17" fillId="35" borderId="11" xfId="0" applyFont="1" applyFill="1" applyBorder="1" applyAlignment="1" applyProtection="1">
      <alignment/>
      <protection locked="0"/>
    </xf>
    <xf numFmtId="0" fontId="17" fillId="35" borderId="14" xfId="0" applyFont="1" applyFill="1" applyBorder="1" applyAlignment="1" applyProtection="1">
      <alignment/>
      <protection locked="0"/>
    </xf>
    <xf numFmtId="200" fontId="12" fillId="39" borderId="0" xfId="0" applyNumberFormat="1" applyFont="1" applyFill="1" applyAlignment="1" applyProtection="1">
      <alignment/>
      <protection/>
    </xf>
    <xf numFmtId="200" fontId="1" fillId="0" borderId="0" xfId="0" applyNumberFormat="1" applyFont="1" applyAlignment="1">
      <alignment/>
    </xf>
    <xf numFmtId="167" fontId="17" fillId="39" borderId="0" xfId="0" applyNumberFormat="1" applyFont="1" applyFill="1" applyAlignment="1" applyProtection="1">
      <alignment horizontal="left"/>
      <protection/>
    </xf>
    <xf numFmtId="0" fontId="0" fillId="0" borderId="24" xfId="0" applyBorder="1" applyAlignment="1">
      <alignment/>
    </xf>
    <xf numFmtId="0" fontId="1" fillId="35" borderId="17" xfId="0" applyFont="1" applyFill="1"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17" fillId="35" borderId="12" xfId="0" applyFont="1" applyFill="1" applyBorder="1" applyAlignment="1" applyProtection="1">
      <alignment/>
      <protection locked="0"/>
    </xf>
    <xf numFmtId="0" fontId="17" fillId="35" borderId="0" xfId="0" applyFont="1" applyFill="1" applyBorder="1" applyAlignment="1" applyProtection="1">
      <alignment/>
      <protection locked="0"/>
    </xf>
    <xf numFmtId="0" fontId="17" fillId="35" borderId="15" xfId="0" applyFont="1" applyFill="1" applyBorder="1" applyAlignment="1" applyProtection="1">
      <alignment/>
      <protection locked="0"/>
    </xf>
    <xf numFmtId="194" fontId="1" fillId="33" borderId="12" xfId="0" applyNumberFormat="1" applyFont="1" applyFill="1" applyBorder="1" applyAlignment="1" applyProtection="1">
      <alignment horizontal="left"/>
      <protection/>
    </xf>
    <xf numFmtId="194" fontId="0" fillId="0" borderId="0" xfId="0" applyNumberFormat="1" applyAlignment="1">
      <alignment horizontal="left"/>
    </xf>
    <xf numFmtId="0" fontId="0" fillId="34" borderId="0" xfId="0" applyFill="1" applyBorder="1" applyAlignment="1">
      <alignment horizontal="center"/>
    </xf>
    <xf numFmtId="0" fontId="0" fillId="34" borderId="0" xfId="0" applyFill="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0">
    <dxf>
      <fill>
        <patternFill>
          <bgColor indexed="9"/>
        </patternFill>
      </fill>
      <border>
        <left style="thin"/>
        <right style="thin"/>
        <top style="thin"/>
        <bottom style="thin"/>
      </border>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43"/>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9"/>
        </patternFill>
      </fill>
    </dxf>
    <dxf>
      <fill>
        <patternFill>
          <bgColor indexed="43"/>
        </patternFill>
      </fill>
    </dxf>
    <dxf>
      <fill>
        <patternFill>
          <bgColor indexed="43"/>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9</xdr:row>
      <xdr:rowOff>133350</xdr:rowOff>
    </xdr:from>
    <xdr:to>
      <xdr:col>11</xdr:col>
      <xdr:colOff>0</xdr:colOff>
      <xdr:row>33</xdr:row>
      <xdr:rowOff>9525</xdr:rowOff>
    </xdr:to>
    <xdr:sp>
      <xdr:nvSpPr>
        <xdr:cNvPr id="1" name="Line 1"/>
        <xdr:cNvSpPr>
          <a:spLocks/>
        </xdr:cNvSpPr>
      </xdr:nvSpPr>
      <xdr:spPr>
        <a:xfrm>
          <a:off x="5200650" y="1419225"/>
          <a:ext cx="0" cy="3514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428625</xdr:colOff>
      <xdr:row>28</xdr:row>
      <xdr:rowOff>0</xdr:rowOff>
    </xdr:from>
    <xdr:to>
      <xdr:col>13</xdr:col>
      <xdr:colOff>295275</xdr:colOff>
      <xdr:row>28</xdr:row>
      <xdr:rowOff>142875</xdr:rowOff>
    </xdr:to>
    <xdr:sp>
      <xdr:nvSpPr>
        <xdr:cNvPr id="1" name="Line 7"/>
        <xdr:cNvSpPr>
          <a:spLocks/>
        </xdr:cNvSpPr>
      </xdr:nvSpPr>
      <xdr:spPr>
        <a:xfrm flipH="1">
          <a:off x="6086475" y="4591050"/>
          <a:ext cx="36195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295275</xdr:colOff>
      <xdr:row>28</xdr:row>
      <xdr:rowOff>0</xdr:rowOff>
    </xdr:from>
    <xdr:to>
      <xdr:col>14</xdr:col>
      <xdr:colOff>123825</xdr:colOff>
      <xdr:row>28</xdr:row>
      <xdr:rowOff>142875</xdr:rowOff>
    </xdr:to>
    <xdr:sp>
      <xdr:nvSpPr>
        <xdr:cNvPr id="2" name="Line 8"/>
        <xdr:cNvSpPr>
          <a:spLocks/>
        </xdr:cNvSpPr>
      </xdr:nvSpPr>
      <xdr:spPr>
        <a:xfrm>
          <a:off x="6448425" y="4591050"/>
          <a:ext cx="3714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32</xdr:row>
      <xdr:rowOff>9525</xdr:rowOff>
    </xdr:from>
    <xdr:to>
      <xdr:col>13</xdr:col>
      <xdr:colOff>276225</xdr:colOff>
      <xdr:row>32</xdr:row>
      <xdr:rowOff>152400</xdr:rowOff>
    </xdr:to>
    <xdr:sp>
      <xdr:nvSpPr>
        <xdr:cNvPr id="3" name="Line 9"/>
        <xdr:cNvSpPr>
          <a:spLocks/>
        </xdr:cNvSpPr>
      </xdr:nvSpPr>
      <xdr:spPr>
        <a:xfrm>
          <a:off x="5915025" y="5248275"/>
          <a:ext cx="51435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30</xdr:row>
      <xdr:rowOff>38100</xdr:rowOff>
    </xdr:from>
    <xdr:to>
      <xdr:col>14</xdr:col>
      <xdr:colOff>257175</xdr:colOff>
      <xdr:row>33</xdr:row>
      <xdr:rowOff>0</xdr:rowOff>
    </xdr:to>
    <xdr:sp>
      <xdr:nvSpPr>
        <xdr:cNvPr id="4" name="Line 10"/>
        <xdr:cNvSpPr>
          <a:spLocks/>
        </xdr:cNvSpPr>
      </xdr:nvSpPr>
      <xdr:spPr>
        <a:xfrm flipH="1">
          <a:off x="6429375" y="4953000"/>
          <a:ext cx="52387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333375</xdr:colOff>
      <xdr:row>30</xdr:row>
      <xdr:rowOff>0</xdr:rowOff>
    </xdr:from>
    <xdr:to>
      <xdr:col>18</xdr:col>
      <xdr:colOff>295275</xdr:colOff>
      <xdr:row>32</xdr:row>
      <xdr:rowOff>152400</xdr:rowOff>
    </xdr:to>
    <xdr:sp>
      <xdr:nvSpPr>
        <xdr:cNvPr id="5" name="Line 11"/>
        <xdr:cNvSpPr>
          <a:spLocks/>
        </xdr:cNvSpPr>
      </xdr:nvSpPr>
      <xdr:spPr>
        <a:xfrm flipH="1">
          <a:off x="8848725" y="4914900"/>
          <a:ext cx="52387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32</xdr:row>
      <xdr:rowOff>0</xdr:rowOff>
    </xdr:from>
    <xdr:to>
      <xdr:col>17</xdr:col>
      <xdr:colOff>323850</xdr:colOff>
      <xdr:row>32</xdr:row>
      <xdr:rowOff>152400</xdr:rowOff>
    </xdr:to>
    <xdr:sp>
      <xdr:nvSpPr>
        <xdr:cNvPr id="6" name="Line 12"/>
        <xdr:cNvSpPr>
          <a:spLocks/>
        </xdr:cNvSpPr>
      </xdr:nvSpPr>
      <xdr:spPr>
        <a:xfrm>
          <a:off x="8277225" y="5238750"/>
          <a:ext cx="5619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400050</xdr:colOff>
      <xdr:row>28</xdr:row>
      <xdr:rowOff>9525</xdr:rowOff>
    </xdr:from>
    <xdr:to>
      <xdr:col>17</xdr:col>
      <xdr:colOff>333375</xdr:colOff>
      <xdr:row>29</xdr:row>
      <xdr:rowOff>9525</xdr:rowOff>
    </xdr:to>
    <xdr:sp>
      <xdr:nvSpPr>
        <xdr:cNvPr id="7" name="Line 13"/>
        <xdr:cNvSpPr>
          <a:spLocks/>
        </xdr:cNvSpPr>
      </xdr:nvSpPr>
      <xdr:spPr>
        <a:xfrm flipH="1">
          <a:off x="8410575" y="4600575"/>
          <a:ext cx="4381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333375</xdr:colOff>
      <xdr:row>28</xdr:row>
      <xdr:rowOff>9525</xdr:rowOff>
    </xdr:from>
    <xdr:to>
      <xdr:col>18</xdr:col>
      <xdr:colOff>123825</xdr:colOff>
      <xdr:row>29</xdr:row>
      <xdr:rowOff>0</xdr:rowOff>
    </xdr:to>
    <xdr:sp>
      <xdr:nvSpPr>
        <xdr:cNvPr id="8" name="Line 14"/>
        <xdr:cNvSpPr>
          <a:spLocks/>
        </xdr:cNvSpPr>
      </xdr:nvSpPr>
      <xdr:spPr>
        <a:xfrm>
          <a:off x="8848725" y="4600575"/>
          <a:ext cx="3524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3</xdr:row>
      <xdr:rowOff>28575</xdr:rowOff>
    </xdr:from>
    <xdr:to>
      <xdr:col>9</xdr:col>
      <xdr:colOff>28575</xdr:colOff>
      <xdr:row>28</xdr:row>
      <xdr:rowOff>0</xdr:rowOff>
    </xdr:to>
    <xdr:sp>
      <xdr:nvSpPr>
        <xdr:cNvPr id="9" name="Line 17"/>
        <xdr:cNvSpPr>
          <a:spLocks/>
        </xdr:cNvSpPr>
      </xdr:nvSpPr>
      <xdr:spPr>
        <a:xfrm>
          <a:off x="4400550" y="514350"/>
          <a:ext cx="0" cy="407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20</xdr:row>
      <xdr:rowOff>104775</xdr:rowOff>
    </xdr:from>
    <xdr:to>
      <xdr:col>3</xdr:col>
      <xdr:colOff>333375</xdr:colOff>
      <xdr:row>20</xdr:row>
      <xdr:rowOff>104775</xdr:rowOff>
    </xdr:to>
    <xdr:sp>
      <xdr:nvSpPr>
        <xdr:cNvPr id="10" name="Line 26"/>
        <xdr:cNvSpPr>
          <a:spLocks/>
        </xdr:cNvSpPr>
      </xdr:nvSpPr>
      <xdr:spPr>
        <a:xfrm>
          <a:off x="1190625" y="338137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21</xdr:row>
      <xdr:rowOff>133350</xdr:rowOff>
    </xdr:from>
    <xdr:to>
      <xdr:col>3</xdr:col>
      <xdr:colOff>352425</xdr:colOff>
      <xdr:row>21</xdr:row>
      <xdr:rowOff>133350</xdr:rowOff>
    </xdr:to>
    <xdr:sp>
      <xdr:nvSpPr>
        <xdr:cNvPr id="11" name="Line 27"/>
        <xdr:cNvSpPr>
          <a:spLocks/>
        </xdr:cNvSpPr>
      </xdr:nvSpPr>
      <xdr:spPr>
        <a:xfrm>
          <a:off x="1371600" y="35814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24</xdr:row>
      <xdr:rowOff>95250</xdr:rowOff>
    </xdr:from>
    <xdr:to>
      <xdr:col>15</xdr:col>
      <xdr:colOff>28575</xdr:colOff>
      <xdr:row>32</xdr:row>
      <xdr:rowOff>114300</xdr:rowOff>
    </xdr:to>
    <xdr:sp>
      <xdr:nvSpPr>
        <xdr:cNvPr id="12" name="Line 32"/>
        <xdr:cNvSpPr>
          <a:spLocks/>
        </xdr:cNvSpPr>
      </xdr:nvSpPr>
      <xdr:spPr>
        <a:xfrm>
          <a:off x="7315200" y="4038600"/>
          <a:ext cx="0"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18</xdr:row>
      <xdr:rowOff>114300</xdr:rowOff>
    </xdr:from>
    <xdr:to>
      <xdr:col>9</xdr:col>
      <xdr:colOff>104775</xdr:colOff>
      <xdr:row>19</xdr:row>
      <xdr:rowOff>123825</xdr:rowOff>
    </xdr:to>
    <xdr:sp>
      <xdr:nvSpPr>
        <xdr:cNvPr id="13" name="Line 33"/>
        <xdr:cNvSpPr>
          <a:spLocks/>
        </xdr:cNvSpPr>
      </xdr:nvSpPr>
      <xdr:spPr>
        <a:xfrm flipV="1">
          <a:off x="4476750" y="30670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0</xdr:rowOff>
    </xdr:from>
    <xdr:to>
      <xdr:col>5</xdr:col>
      <xdr:colOff>95250</xdr:colOff>
      <xdr:row>15</xdr:row>
      <xdr:rowOff>57150</xdr:rowOff>
    </xdr:to>
    <xdr:sp>
      <xdr:nvSpPr>
        <xdr:cNvPr id="1" name="AutoShape 13"/>
        <xdr:cNvSpPr>
          <a:spLocks/>
        </xdr:cNvSpPr>
      </xdr:nvSpPr>
      <xdr:spPr>
        <a:xfrm>
          <a:off x="3505200" y="1838325"/>
          <a:ext cx="9525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13</xdr:row>
      <xdr:rowOff>47625</xdr:rowOff>
    </xdr:from>
    <xdr:to>
      <xdr:col>8</xdr:col>
      <xdr:colOff>95250</xdr:colOff>
      <xdr:row>22</xdr:row>
      <xdr:rowOff>0</xdr:rowOff>
    </xdr:to>
    <xdr:sp>
      <xdr:nvSpPr>
        <xdr:cNvPr id="2" name="AutoShape 14"/>
        <xdr:cNvSpPr>
          <a:spLocks/>
        </xdr:cNvSpPr>
      </xdr:nvSpPr>
      <xdr:spPr>
        <a:xfrm>
          <a:off x="5229225" y="2038350"/>
          <a:ext cx="133350" cy="1362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24</xdr:row>
      <xdr:rowOff>142875</xdr:rowOff>
    </xdr:from>
    <xdr:to>
      <xdr:col>5</xdr:col>
      <xdr:colOff>28575</xdr:colOff>
      <xdr:row>28</xdr:row>
      <xdr:rowOff>95250</xdr:rowOff>
    </xdr:to>
    <xdr:sp>
      <xdr:nvSpPr>
        <xdr:cNvPr id="3" name="AutoShape 15"/>
        <xdr:cNvSpPr>
          <a:spLocks/>
        </xdr:cNvSpPr>
      </xdr:nvSpPr>
      <xdr:spPr>
        <a:xfrm>
          <a:off x="3419475" y="3857625"/>
          <a:ext cx="11430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26</xdr:row>
      <xdr:rowOff>0</xdr:rowOff>
    </xdr:from>
    <xdr:to>
      <xdr:col>8</xdr:col>
      <xdr:colOff>104775</xdr:colOff>
      <xdr:row>35</xdr:row>
      <xdr:rowOff>0</xdr:rowOff>
    </xdr:to>
    <xdr:sp>
      <xdr:nvSpPr>
        <xdr:cNvPr id="4" name="AutoShape 16"/>
        <xdr:cNvSpPr>
          <a:spLocks/>
        </xdr:cNvSpPr>
      </xdr:nvSpPr>
      <xdr:spPr>
        <a:xfrm>
          <a:off x="5229225" y="4029075"/>
          <a:ext cx="142875" cy="1409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85725</xdr:colOff>
      <xdr:row>31</xdr:row>
      <xdr:rowOff>142875</xdr:rowOff>
    </xdr:from>
    <xdr:to>
      <xdr:col>19</xdr:col>
      <xdr:colOff>485775</xdr:colOff>
      <xdr:row>33</xdr:row>
      <xdr:rowOff>19050</xdr:rowOff>
    </xdr:to>
    <xdr:sp>
      <xdr:nvSpPr>
        <xdr:cNvPr id="5" name="AutoShape 702"/>
        <xdr:cNvSpPr>
          <a:spLocks/>
        </xdr:cNvSpPr>
      </xdr:nvSpPr>
      <xdr:spPr>
        <a:xfrm rot="5400000">
          <a:off x="9763125" y="4953000"/>
          <a:ext cx="942975" cy="190500"/>
        </a:xfrm>
        <a:prstGeom prst="rightBrace">
          <a:avLst>
            <a:gd name="adj1" fmla="val -50000"/>
            <a:gd name="adj2" fmla="val 540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85725</xdr:colOff>
      <xdr:row>39</xdr:row>
      <xdr:rowOff>142875</xdr:rowOff>
    </xdr:from>
    <xdr:to>
      <xdr:col>19</xdr:col>
      <xdr:colOff>485775</xdr:colOff>
      <xdr:row>41</xdr:row>
      <xdr:rowOff>19050</xdr:rowOff>
    </xdr:to>
    <xdr:sp>
      <xdr:nvSpPr>
        <xdr:cNvPr id="6" name="AutoShape 703"/>
        <xdr:cNvSpPr>
          <a:spLocks/>
        </xdr:cNvSpPr>
      </xdr:nvSpPr>
      <xdr:spPr>
        <a:xfrm rot="5400000">
          <a:off x="9763125" y="6248400"/>
          <a:ext cx="942975" cy="200025"/>
        </a:xfrm>
        <a:prstGeom prst="rightBrace">
          <a:avLst>
            <a:gd name="adj1" fmla="val -50000"/>
            <a:gd name="adj2" fmla="val 540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25</xdr:row>
      <xdr:rowOff>0</xdr:rowOff>
    </xdr:from>
    <xdr:to>
      <xdr:col>23</xdr:col>
      <xdr:colOff>0</xdr:colOff>
      <xdr:row>26</xdr:row>
      <xdr:rowOff>95250</xdr:rowOff>
    </xdr:to>
    <xdr:sp>
      <xdr:nvSpPr>
        <xdr:cNvPr id="7" name="AutoShape 749"/>
        <xdr:cNvSpPr>
          <a:spLocks/>
        </xdr:cNvSpPr>
      </xdr:nvSpPr>
      <xdr:spPr>
        <a:xfrm rot="5262999">
          <a:off x="11182350" y="3876675"/>
          <a:ext cx="1000125"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9</xdr:row>
      <xdr:rowOff>28575</xdr:rowOff>
    </xdr:from>
    <xdr:to>
      <xdr:col>14</xdr:col>
      <xdr:colOff>0</xdr:colOff>
      <xdr:row>9</xdr:row>
      <xdr:rowOff>38100</xdr:rowOff>
    </xdr:to>
    <xdr:sp>
      <xdr:nvSpPr>
        <xdr:cNvPr id="1" name="Line 3"/>
        <xdr:cNvSpPr>
          <a:spLocks/>
        </xdr:cNvSpPr>
      </xdr:nvSpPr>
      <xdr:spPr>
        <a:xfrm>
          <a:off x="6181725" y="148590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22</xdr:row>
      <xdr:rowOff>95250</xdr:rowOff>
    </xdr:from>
    <xdr:to>
      <xdr:col>2</xdr:col>
      <xdr:colOff>161925</xdr:colOff>
      <xdr:row>22</xdr:row>
      <xdr:rowOff>104775</xdr:rowOff>
    </xdr:to>
    <xdr:sp>
      <xdr:nvSpPr>
        <xdr:cNvPr id="1" name="Line 2"/>
        <xdr:cNvSpPr>
          <a:spLocks/>
        </xdr:cNvSpPr>
      </xdr:nvSpPr>
      <xdr:spPr>
        <a:xfrm>
          <a:off x="590550" y="3714750"/>
          <a:ext cx="91440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22</xdr:row>
      <xdr:rowOff>123825</xdr:rowOff>
    </xdr:from>
    <xdr:to>
      <xdr:col>2</xdr:col>
      <xdr:colOff>133350</xdr:colOff>
      <xdr:row>28</xdr:row>
      <xdr:rowOff>104775</xdr:rowOff>
    </xdr:to>
    <xdr:sp>
      <xdr:nvSpPr>
        <xdr:cNvPr id="2" name="Line 3"/>
        <xdr:cNvSpPr>
          <a:spLocks/>
        </xdr:cNvSpPr>
      </xdr:nvSpPr>
      <xdr:spPr>
        <a:xfrm flipH="1">
          <a:off x="1457325" y="3743325"/>
          <a:ext cx="1905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38</xdr:row>
      <xdr:rowOff>76200</xdr:rowOff>
    </xdr:from>
    <xdr:to>
      <xdr:col>2</xdr:col>
      <xdr:colOff>38100</xdr:colOff>
      <xdr:row>44</xdr:row>
      <xdr:rowOff>57150</xdr:rowOff>
    </xdr:to>
    <xdr:sp>
      <xdr:nvSpPr>
        <xdr:cNvPr id="3" name="Line 7"/>
        <xdr:cNvSpPr>
          <a:spLocks/>
        </xdr:cNvSpPr>
      </xdr:nvSpPr>
      <xdr:spPr>
        <a:xfrm>
          <a:off x="1381125" y="6286500"/>
          <a:ext cx="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44</xdr:row>
      <xdr:rowOff>85725</xdr:rowOff>
    </xdr:from>
    <xdr:to>
      <xdr:col>4</xdr:col>
      <xdr:colOff>504825</xdr:colOff>
      <xdr:row>44</xdr:row>
      <xdr:rowOff>114300</xdr:rowOff>
    </xdr:to>
    <xdr:sp>
      <xdr:nvSpPr>
        <xdr:cNvPr id="4" name="Line 9"/>
        <xdr:cNvSpPr>
          <a:spLocks/>
        </xdr:cNvSpPr>
      </xdr:nvSpPr>
      <xdr:spPr>
        <a:xfrm>
          <a:off x="552450" y="7267575"/>
          <a:ext cx="297180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38</xdr:row>
      <xdr:rowOff>47625</xdr:rowOff>
    </xdr:from>
    <xdr:to>
      <xdr:col>2</xdr:col>
      <xdr:colOff>38100</xdr:colOff>
      <xdr:row>38</xdr:row>
      <xdr:rowOff>76200</xdr:rowOff>
    </xdr:to>
    <xdr:sp>
      <xdr:nvSpPr>
        <xdr:cNvPr id="5" name="Line 10"/>
        <xdr:cNvSpPr>
          <a:spLocks/>
        </xdr:cNvSpPr>
      </xdr:nvSpPr>
      <xdr:spPr>
        <a:xfrm>
          <a:off x="552450" y="6257925"/>
          <a:ext cx="828675" cy="285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22</xdr:row>
      <xdr:rowOff>123825</xdr:rowOff>
    </xdr:from>
    <xdr:to>
      <xdr:col>3</xdr:col>
      <xdr:colOff>161925</xdr:colOff>
      <xdr:row>28</xdr:row>
      <xdr:rowOff>95250</xdr:rowOff>
    </xdr:to>
    <xdr:sp>
      <xdr:nvSpPr>
        <xdr:cNvPr id="6" name="Line 11"/>
        <xdr:cNvSpPr>
          <a:spLocks/>
        </xdr:cNvSpPr>
      </xdr:nvSpPr>
      <xdr:spPr>
        <a:xfrm>
          <a:off x="1495425" y="3743325"/>
          <a:ext cx="1000125" cy="9429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38</xdr:row>
      <xdr:rowOff>85725</xdr:rowOff>
    </xdr:from>
    <xdr:to>
      <xdr:col>3</xdr:col>
      <xdr:colOff>0</xdr:colOff>
      <xdr:row>44</xdr:row>
      <xdr:rowOff>95250</xdr:rowOff>
    </xdr:to>
    <xdr:sp>
      <xdr:nvSpPr>
        <xdr:cNvPr id="7" name="Line 12"/>
        <xdr:cNvSpPr>
          <a:spLocks/>
        </xdr:cNvSpPr>
      </xdr:nvSpPr>
      <xdr:spPr>
        <a:xfrm>
          <a:off x="1390650" y="6296025"/>
          <a:ext cx="942975" cy="9810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28</xdr:row>
      <xdr:rowOff>85725</xdr:rowOff>
    </xdr:from>
    <xdr:to>
      <xdr:col>4</xdr:col>
      <xdr:colOff>428625</xdr:colOff>
      <xdr:row>28</xdr:row>
      <xdr:rowOff>104775</xdr:rowOff>
    </xdr:to>
    <xdr:sp>
      <xdr:nvSpPr>
        <xdr:cNvPr id="8" name="Line 13"/>
        <xdr:cNvSpPr>
          <a:spLocks/>
        </xdr:cNvSpPr>
      </xdr:nvSpPr>
      <xdr:spPr>
        <a:xfrm>
          <a:off x="533400" y="4676775"/>
          <a:ext cx="29146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33</xdr:row>
      <xdr:rowOff>95250</xdr:rowOff>
    </xdr:from>
    <xdr:to>
      <xdr:col>6</xdr:col>
      <xdr:colOff>561975</xdr:colOff>
      <xdr:row>33</xdr:row>
      <xdr:rowOff>104775</xdr:rowOff>
    </xdr:to>
    <xdr:sp>
      <xdr:nvSpPr>
        <xdr:cNvPr id="9" name="Line 14"/>
        <xdr:cNvSpPr>
          <a:spLocks/>
        </xdr:cNvSpPr>
      </xdr:nvSpPr>
      <xdr:spPr>
        <a:xfrm flipV="1">
          <a:off x="123825" y="5495925"/>
          <a:ext cx="5067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981075</xdr:colOff>
      <xdr:row>4</xdr:row>
      <xdr:rowOff>133350</xdr:rowOff>
    </xdr:from>
    <xdr:to>
      <xdr:col>3</xdr:col>
      <xdr:colOff>114300</xdr:colOff>
      <xdr:row>10</xdr:row>
      <xdr:rowOff>57150</xdr:rowOff>
    </xdr:to>
    <xdr:sp>
      <xdr:nvSpPr>
        <xdr:cNvPr id="1" name="Line 1"/>
        <xdr:cNvSpPr>
          <a:spLocks/>
        </xdr:cNvSpPr>
      </xdr:nvSpPr>
      <xdr:spPr>
        <a:xfrm>
          <a:off x="3810000" y="866775"/>
          <a:ext cx="40005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981075</xdr:colOff>
      <xdr:row>10</xdr:row>
      <xdr:rowOff>66675</xdr:rowOff>
    </xdr:from>
    <xdr:to>
      <xdr:col>3</xdr:col>
      <xdr:colOff>114300</xdr:colOff>
      <xdr:row>10</xdr:row>
      <xdr:rowOff>66675</xdr:rowOff>
    </xdr:to>
    <xdr:sp>
      <xdr:nvSpPr>
        <xdr:cNvPr id="2" name="Line 2"/>
        <xdr:cNvSpPr>
          <a:spLocks/>
        </xdr:cNvSpPr>
      </xdr:nvSpPr>
      <xdr:spPr>
        <a:xfrm flipV="1">
          <a:off x="3810000" y="18192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981075</xdr:colOff>
      <xdr:row>6</xdr:row>
      <xdr:rowOff>66675</xdr:rowOff>
    </xdr:from>
    <xdr:to>
      <xdr:col>3</xdr:col>
      <xdr:colOff>85725</xdr:colOff>
      <xdr:row>6</xdr:row>
      <xdr:rowOff>66675</xdr:rowOff>
    </xdr:to>
    <xdr:sp>
      <xdr:nvSpPr>
        <xdr:cNvPr id="3" name="Line 4"/>
        <xdr:cNvSpPr>
          <a:spLocks/>
        </xdr:cNvSpPr>
      </xdr:nvSpPr>
      <xdr:spPr>
        <a:xfrm>
          <a:off x="3810000" y="11430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971550</xdr:colOff>
      <xdr:row>4</xdr:row>
      <xdr:rowOff>123825</xdr:rowOff>
    </xdr:from>
    <xdr:to>
      <xdr:col>3</xdr:col>
      <xdr:colOff>76200</xdr:colOff>
      <xdr:row>6</xdr:row>
      <xdr:rowOff>66675</xdr:rowOff>
    </xdr:to>
    <xdr:sp>
      <xdr:nvSpPr>
        <xdr:cNvPr id="4" name="Line 7"/>
        <xdr:cNvSpPr>
          <a:spLocks/>
        </xdr:cNvSpPr>
      </xdr:nvSpPr>
      <xdr:spPr>
        <a:xfrm flipH="1" flipV="1">
          <a:off x="3800475" y="857250"/>
          <a:ext cx="3714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13</xdr:row>
      <xdr:rowOff>104775</xdr:rowOff>
    </xdr:from>
    <xdr:to>
      <xdr:col>8</xdr:col>
      <xdr:colOff>685800</xdr:colOff>
      <xdr:row>13</xdr:row>
      <xdr:rowOff>104775</xdr:rowOff>
    </xdr:to>
    <xdr:sp>
      <xdr:nvSpPr>
        <xdr:cNvPr id="5" name="Line 288"/>
        <xdr:cNvSpPr>
          <a:spLocks/>
        </xdr:cNvSpPr>
      </xdr:nvSpPr>
      <xdr:spPr>
        <a:xfrm>
          <a:off x="5715000" y="2352675"/>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6</xdr:row>
      <xdr:rowOff>152400</xdr:rowOff>
    </xdr:from>
    <xdr:to>
      <xdr:col>1</xdr:col>
      <xdr:colOff>485775</xdr:colOff>
      <xdr:row>8</xdr:row>
      <xdr:rowOff>0</xdr:rowOff>
    </xdr:to>
    <xdr:sp>
      <xdr:nvSpPr>
        <xdr:cNvPr id="1" name="Line 1"/>
        <xdr:cNvSpPr>
          <a:spLocks/>
        </xdr:cNvSpPr>
      </xdr:nvSpPr>
      <xdr:spPr>
        <a:xfrm>
          <a:off x="866775" y="1143000"/>
          <a:ext cx="2762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609600</xdr:colOff>
      <xdr:row>8</xdr:row>
      <xdr:rowOff>28575</xdr:rowOff>
    </xdr:from>
    <xdr:to>
      <xdr:col>21</xdr:col>
      <xdr:colOff>114300</xdr:colOff>
      <xdr:row>10</xdr:row>
      <xdr:rowOff>104775</xdr:rowOff>
    </xdr:to>
    <xdr:sp>
      <xdr:nvSpPr>
        <xdr:cNvPr id="2" name="Freeform 136"/>
        <xdr:cNvSpPr>
          <a:spLocks/>
        </xdr:cNvSpPr>
      </xdr:nvSpPr>
      <xdr:spPr>
        <a:xfrm>
          <a:off x="11506200" y="1343025"/>
          <a:ext cx="2752725" cy="409575"/>
        </a:xfrm>
        <a:custGeom>
          <a:pathLst>
            <a:path h="43" w="289">
              <a:moveTo>
                <a:pt x="0" y="43"/>
              </a:moveTo>
              <a:cubicBezTo>
                <a:pt x="9" y="38"/>
                <a:pt x="13" y="27"/>
                <a:pt x="22" y="21"/>
              </a:cubicBezTo>
              <a:cubicBezTo>
                <a:pt x="25" y="16"/>
                <a:pt x="29" y="14"/>
                <a:pt x="35" y="13"/>
              </a:cubicBezTo>
              <a:cubicBezTo>
                <a:pt x="56" y="1"/>
                <a:pt x="73" y="3"/>
                <a:pt x="99" y="2"/>
              </a:cubicBezTo>
              <a:cubicBezTo>
                <a:pt x="244" y="3"/>
                <a:pt x="200" y="0"/>
                <a:pt x="266" y="7"/>
              </a:cubicBezTo>
              <a:cubicBezTo>
                <a:pt x="273" y="10"/>
                <a:pt x="284" y="10"/>
                <a:pt x="289" y="1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857250</xdr:colOff>
      <xdr:row>8</xdr:row>
      <xdr:rowOff>19050</xdr:rowOff>
    </xdr:from>
    <xdr:to>
      <xdr:col>11</xdr:col>
      <xdr:colOff>533400</xdr:colOff>
      <xdr:row>14</xdr:row>
      <xdr:rowOff>9525</xdr:rowOff>
    </xdr:to>
    <xdr:sp>
      <xdr:nvSpPr>
        <xdr:cNvPr id="1" name="Freeform 1"/>
        <xdr:cNvSpPr>
          <a:spLocks/>
        </xdr:cNvSpPr>
      </xdr:nvSpPr>
      <xdr:spPr>
        <a:xfrm>
          <a:off x="6972300" y="1333500"/>
          <a:ext cx="533400" cy="962025"/>
        </a:xfrm>
        <a:custGeom>
          <a:pathLst>
            <a:path h="101" w="60">
              <a:moveTo>
                <a:pt x="0" y="6"/>
              </a:moveTo>
              <a:cubicBezTo>
                <a:pt x="11" y="5"/>
                <a:pt x="39" y="0"/>
                <a:pt x="45" y="9"/>
              </a:cubicBezTo>
              <a:cubicBezTo>
                <a:pt x="44" y="101"/>
                <a:pt x="57" y="83"/>
                <a:pt x="39" y="65"/>
              </a:cubicBezTo>
              <a:cubicBezTo>
                <a:pt x="37" y="70"/>
                <a:pt x="41" y="69"/>
                <a:pt x="46" y="70"/>
              </a:cubicBezTo>
              <a:cubicBezTo>
                <a:pt x="60" y="67"/>
                <a:pt x="47" y="65"/>
                <a:pt x="39" y="6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I63"/>
  <sheetViews>
    <sheetView tabSelected="1" zoomScale="85" zoomScaleNormal="85" zoomScalePageLayoutView="0" workbookViewId="0" topLeftCell="A1">
      <selection activeCell="J1" sqref="J1"/>
    </sheetView>
  </sheetViews>
  <sheetFormatPr defaultColWidth="9.140625" defaultRowHeight="12.75"/>
  <cols>
    <col min="1" max="1" width="0.5625" style="2" customWidth="1"/>
    <col min="2" max="2" width="5.28125" style="2" customWidth="1"/>
    <col min="3" max="3" width="8.00390625" style="2" customWidth="1"/>
    <col min="4" max="4" width="7.8515625" style="2" customWidth="1"/>
    <col min="5" max="5" width="9.57421875" style="2" customWidth="1"/>
    <col min="6" max="6" width="9.140625" style="2" customWidth="1"/>
    <col min="7" max="7" width="7.421875" style="2" customWidth="1"/>
    <col min="8" max="8" width="7.140625" style="2" customWidth="1"/>
    <col min="9" max="9" width="8.421875" style="2" customWidth="1"/>
    <col min="10" max="10" width="5.421875" style="2" customWidth="1"/>
    <col min="11" max="11" width="9.140625" style="2" customWidth="1"/>
    <col min="12" max="12" width="6.421875" style="2" customWidth="1"/>
    <col min="13" max="13" width="7.8515625" style="2" customWidth="1"/>
    <col min="14" max="14" width="9.57421875" style="2" customWidth="1"/>
    <col min="15" max="15" width="8.8515625" style="2" customWidth="1"/>
    <col min="16" max="16" width="5.57421875" style="2" customWidth="1"/>
    <col min="17" max="17" width="8.421875" style="2" customWidth="1"/>
    <col min="18" max="18" width="6.57421875" style="2" customWidth="1"/>
    <col min="19" max="19" width="9.00390625" style="2" customWidth="1"/>
    <col min="20" max="20" width="7.8515625" style="2" customWidth="1"/>
    <col min="21" max="21" width="0.9921875" style="2" customWidth="1"/>
    <col min="22" max="22" width="12.140625" style="3" hidden="1" customWidth="1"/>
    <col min="23" max="28" width="0" style="2" hidden="1" customWidth="1"/>
    <col min="29" max="29" width="10.421875" style="389" hidden="1" customWidth="1"/>
    <col min="30" max="32" width="0" style="2" hidden="1" customWidth="1"/>
    <col min="33" max="16384" width="9.140625" style="2" customWidth="1"/>
  </cols>
  <sheetData>
    <row r="1" spans="1:34" ht="11.25">
      <c r="A1" s="21"/>
      <c r="B1" s="21" t="s">
        <v>356</v>
      </c>
      <c r="C1" s="21"/>
      <c r="D1" s="21"/>
      <c r="E1" s="21"/>
      <c r="F1" s="21"/>
      <c r="G1" s="21"/>
      <c r="H1" s="21"/>
      <c r="I1" s="21"/>
      <c r="J1" s="21"/>
      <c r="K1" s="21"/>
      <c r="L1" s="21"/>
      <c r="M1" s="15"/>
      <c r="N1" s="15"/>
      <c r="O1" s="21"/>
      <c r="P1" s="23" t="s">
        <v>357</v>
      </c>
      <c r="Q1" s="21"/>
      <c r="R1" s="105" t="s">
        <v>151</v>
      </c>
      <c r="S1" s="158" t="s">
        <v>359</v>
      </c>
      <c r="T1" s="15"/>
      <c r="U1" s="21"/>
      <c r="V1" s="61"/>
      <c r="Z1" s="2" t="s">
        <v>197</v>
      </c>
      <c r="AC1" s="403"/>
      <c r="AD1" s="51"/>
      <c r="AE1" s="51"/>
      <c r="AF1" s="51"/>
      <c r="AG1" s="51"/>
      <c r="AH1" s="51"/>
    </row>
    <row r="2" spans="1:34" ht="11.25">
      <c r="A2" s="15"/>
      <c r="B2" s="15"/>
      <c r="C2" s="15"/>
      <c r="D2" s="15" t="s">
        <v>78</v>
      </c>
      <c r="E2" s="15"/>
      <c r="F2" s="15"/>
      <c r="G2" s="15"/>
      <c r="H2" s="15"/>
      <c r="I2" s="15"/>
      <c r="J2" s="15"/>
      <c r="K2" s="15" t="s">
        <v>67</v>
      </c>
      <c r="L2" s="15"/>
      <c r="M2" s="15" t="s">
        <v>162</v>
      </c>
      <c r="N2" s="15"/>
      <c r="O2" s="15"/>
      <c r="P2" s="24" t="s">
        <v>1</v>
      </c>
      <c r="Q2" s="24" t="s">
        <v>94</v>
      </c>
      <c r="R2" s="24" t="s">
        <v>152</v>
      </c>
      <c r="S2" s="24" t="s">
        <v>360</v>
      </c>
      <c r="T2" s="15" t="s">
        <v>358</v>
      </c>
      <c r="U2" s="15"/>
      <c r="X2" s="52"/>
      <c r="Z2" s="2" t="s">
        <v>196</v>
      </c>
      <c r="AC2" s="450"/>
      <c r="AD2" s="51"/>
      <c r="AE2" s="51"/>
      <c r="AF2" s="51"/>
      <c r="AG2" s="51"/>
      <c r="AH2" s="51"/>
    </row>
    <row r="3" spans="1:34" ht="11.25">
      <c r="A3" s="15"/>
      <c r="B3" s="15"/>
      <c r="C3" s="15"/>
      <c r="D3" s="785"/>
      <c r="E3" s="786"/>
      <c r="F3" s="786"/>
      <c r="G3" s="786"/>
      <c r="H3" s="786"/>
      <c r="I3" s="787"/>
      <c r="J3" s="15"/>
      <c r="K3" s="709"/>
      <c r="L3" s="15" t="s">
        <v>68</v>
      </c>
      <c r="M3" s="215">
        <f>IF(K3="","",SUM(K3))</f>
      </c>
      <c r="N3" s="58"/>
      <c r="O3" s="15"/>
      <c r="P3" s="152"/>
      <c r="Q3" s="153"/>
      <c r="R3" s="153"/>
      <c r="S3" s="188">
        <f>IF(P3="","",SUM(Q3:R3))</f>
      </c>
      <c r="T3" s="209"/>
      <c r="U3" s="15"/>
      <c r="Z3" s="2" t="s">
        <v>200</v>
      </c>
      <c r="AA3" s="2" t="s">
        <v>252</v>
      </c>
      <c r="AC3" s="450"/>
      <c r="AD3" s="51"/>
      <c r="AE3" s="51"/>
      <c r="AF3" s="51"/>
      <c r="AG3" s="51"/>
      <c r="AH3" s="51"/>
    </row>
    <row r="4" spans="1:34" ht="11.25">
      <c r="A4" s="15"/>
      <c r="B4" s="15"/>
      <c r="C4" s="15"/>
      <c r="D4" s="15" t="s">
        <v>0</v>
      </c>
      <c r="E4" s="15"/>
      <c r="F4" s="15"/>
      <c r="G4" s="15"/>
      <c r="H4" s="15"/>
      <c r="I4" s="15"/>
      <c r="J4" s="15"/>
      <c r="K4" s="15" t="s">
        <v>69</v>
      </c>
      <c r="L4" s="15"/>
      <c r="M4" s="15" t="s">
        <v>77</v>
      </c>
      <c r="N4" s="15"/>
      <c r="O4" s="15"/>
      <c r="P4" s="152"/>
      <c r="Q4" s="153"/>
      <c r="R4" s="153"/>
      <c r="S4" s="188">
        <f>IF(P4="","",SUM(Q4:R4))</f>
      </c>
      <c r="T4" s="209"/>
      <c r="U4" s="15"/>
      <c r="Z4" s="2" t="s">
        <v>201</v>
      </c>
      <c r="AA4" s="2" t="s">
        <v>245</v>
      </c>
      <c r="AC4" s="450"/>
      <c r="AD4" s="51"/>
      <c r="AE4" s="51"/>
      <c r="AF4" s="51"/>
      <c r="AG4" s="51"/>
      <c r="AH4" s="51"/>
    </row>
    <row r="5" spans="1:34" ht="11.25">
      <c r="A5" s="15"/>
      <c r="B5" s="15"/>
      <c r="C5" s="15"/>
      <c r="D5" s="788"/>
      <c r="E5" s="786"/>
      <c r="F5" s="786"/>
      <c r="G5" s="786"/>
      <c r="H5" s="786"/>
      <c r="I5" s="787"/>
      <c r="J5" s="15"/>
      <c r="K5" s="19"/>
      <c r="L5" s="15" t="s">
        <v>25</v>
      </c>
      <c r="M5" s="15"/>
      <c r="N5" s="552">
        <f>IF(N7="","",DATE(N7+1,1,1))</f>
      </c>
      <c r="O5" s="15"/>
      <c r="P5" s="152"/>
      <c r="Q5" s="153"/>
      <c r="R5" s="153"/>
      <c r="S5" s="188">
        <f>IF(P5="","",SUM(Q5:R5))</f>
      </c>
      <c r="T5" s="209"/>
      <c r="U5" s="15"/>
      <c r="AA5" s="3" t="s">
        <v>246</v>
      </c>
      <c r="AC5" s="450"/>
      <c r="AD5" s="51"/>
      <c r="AE5" s="51"/>
      <c r="AF5" s="51"/>
      <c r="AG5" s="51"/>
      <c r="AH5" s="51"/>
    </row>
    <row r="6" spans="1:34" ht="11.25">
      <c r="A6" s="15"/>
      <c r="B6" s="15"/>
      <c r="C6" s="15"/>
      <c r="D6" s="15" t="s">
        <v>65</v>
      </c>
      <c r="E6" s="15"/>
      <c r="F6" s="15"/>
      <c r="G6" s="15"/>
      <c r="H6" s="15"/>
      <c r="I6" s="15"/>
      <c r="J6" s="15"/>
      <c r="K6" s="241">
        <f>IF('uppdat-hjälpberäkn'!M2&lt;1954,"tillhör ej yngre generationen","")</f>
      </c>
      <c r="L6" s="15"/>
      <c r="M6" s="20"/>
      <c r="N6" s="22" t="s">
        <v>70</v>
      </c>
      <c r="O6" s="15"/>
      <c r="P6" s="15" t="s">
        <v>183</v>
      </c>
      <c r="Q6" s="15"/>
      <c r="R6" s="15" t="s">
        <v>185</v>
      </c>
      <c r="S6" s="15"/>
      <c r="T6" s="15"/>
      <c r="U6" s="15"/>
      <c r="Z6" s="2" t="s">
        <v>219</v>
      </c>
      <c r="AA6" s="2" t="s">
        <v>247</v>
      </c>
      <c r="AC6" s="450"/>
      <c r="AD6" s="51"/>
      <c r="AE6" s="51"/>
      <c r="AF6" s="51"/>
      <c r="AG6" s="51"/>
      <c r="AH6" s="51"/>
    </row>
    <row r="7" spans="1:34" ht="11.25">
      <c r="A7" s="15"/>
      <c r="B7" s="15"/>
      <c r="C7" s="15"/>
      <c r="D7" s="789"/>
      <c r="E7" s="786"/>
      <c r="F7" s="786"/>
      <c r="G7" s="786"/>
      <c r="H7" s="786"/>
      <c r="I7" s="787"/>
      <c r="J7" s="21"/>
      <c r="K7" s="252"/>
      <c r="L7" s="15" t="s">
        <v>450</v>
      </c>
      <c r="M7" s="15"/>
      <c r="N7" s="16"/>
      <c r="O7" s="17" t="s">
        <v>68</v>
      </c>
      <c r="P7" s="15"/>
      <c r="Q7" s="251"/>
      <c r="R7" s="15"/>
      <c r="S7" s="237"/>
      <c r="T7" s="15"/>
      <c r="U7" s="15"/>
      <c r="V7" s="3" t="s">
        <v>477</v>
      </c>
      <c r="X7" s="2" t="s">
        <v>193</v>
      </c>
      <c r="AA7" s="2" t="s">
        <v>248</v>
      </c>
      <c r="AC7" s="450"/>
      <c r="AD7" s="51"/>
      <c r="AE7" s="51"/>
      <c r="AF7" s="51"/>
      <c r="AG7" s="51"/>
      <c r="AH7" s="51"/>
    </row>
    <row r="8" spans="1:34" ht="11.25">
      <c r="A8" s="15"/>
      <c r="B8" s="15"/>
      <c r="C8" s="105" t="s">
        <v>161</v>
      </c>
      <c r="D8" s="24" t="s">
        <v>141</v>
      </c>
      <c r="E8" s="15"/>
      <c r="F8" s="15"/>
      <c r="G8" s="15"/>
      <c r="H8" s="15"/>
      <c r="I8" s="15"/>
      <c r="J8" s="549"/>
      <c r="K8" s="21"/>
      <c r="L8" s="171">
        <f>IF(N7="","",SUM(N7-1))</f>
      </c>
      <c r="M8" s="177">
        <f>IF(N7="","",IF('manuell PU+LAF'!K17&gt;0,'manuell PU+LAF'!N38,'manuell PU+LAF'!I17))</f>
      </c>
      <c r="N8" s="21"/>
      <c r="O8" s="21"/>
      <c r="P8" s="21"/>
      <c r="Q8" s="21"/>
      <c r="R8" s="15"/>
      <c r="S8" s="21"/>
      <c r="T8" s="15"/>
      <c r="U8" s="15"/>
      <c r="X8" s="2" t="s">
        <v>194</v>
      </c>
      <c r="Z8" s="2" t="s">
        <v>226</v>
      </c>
      <c r="AA8" s="2" t="s">
        <v>249</v>
      </c>
      <c r="AC8" s="450"/>
      <c r="AD8" s="51"/>
      <c r="AE8" s="51"/>
      <c r="AF8" s="51"/>
      <c r="AG8" s="51"/>
      <c r="AH8" s="51"/>
    </row>
    <row r="9" spans="1:34" ht="11.25">
      <c r="A9" s="15"/>
      <c r="B9" s="15"/>
      <c r="C9" s="105" t="s">
        <v>184</v>
      </c>
      <c r="D9" s="24" t="s">
        <v>142</v>
      </c>
      <c r="E9" s="24" t="s">
        <v>186</v>
      </c>
      <c r="F9" s="63" t="s">
        <v>76</v>
      </c>
      <c r="G9" s="23"/>
      <c r="H9" s="23"/>
      <c r="I9" s="23"/>
      <c r="J9" s="252"/>
      <c r="K9" s="15" t="s">
        <v>449</v>
      </c>
      <c r="L9" s="548">
        <f>IF(N7="","",SUM(N7))</f>
      </c>
      <c r="M9" s="177">
        <f>IF(N7="","",IF('manuell PU+LAF'!K18&gt;0,'manuell PU+LAF'!R38,'manuell PU+LAF'!I18))</f>
      </c>
      <c r="N9" s="27" t="s">
        <v>34</v>
      </c>
      <c r="O9" s="15"/>
      <c r="P9" s="15"/>
      <c r="Q9" s="15"/>
      <c r="R9" s="24" t="s">
        <v>189</v>
      </c>
      <c r="S9" s="15"/>
      <c r="T9" s="15"/>
      <c r="U9" s="15"/>
      <c r="V9" s="3" t="s">
        <v>476</v>
      </c>
      <c r="W9" s="3"/>
      <c r="AA9" s="2" t="s">
        <v>251</v>
      </c>
      <c r="AC9" s="450"/>
      <c r="AD9" s="51"/>
      <c r="AE9" s="51"/>
      <c r="AF9" s="51"/>
      <c r="AG9" s="51"/>
      <c r="AH9" s="51"/>
    </row>
    <row r="10" spans="1:34" ht="11.25">
      <c r="A10" s="15"/>
      <c r="B10" s="15"/>
      <c r="C10" s="24" t="s">
        <v>192</v>
      </c>
      <c r="D10" s="24" t="s">
        <v>8</v>
      </c>
      <c r="E10" s="24" t="s">
        <v>187</v>
      </c>
      <c r="F10" s="15"/>
      <c r="G10" s="24" t="s">
        <v>33</v>
      </c>
      <c r="H10" s="24" t="s">
        <v>35</v>
      </c>
      <c r="I10" s="105" t="s">
        <v>10</v>
      </c>
      <c r="J10" s="24" t="s">
        <v>11</v>
      </c>
      <c r="K10" s="15"/>
      <c r="L10" s="15"/>
      <c r="M10" s="47" t="s">
        <v>101</v>
      </c>
      <c r="N10" s="24" t="s">
        <v>41</v>
      </c>
      <c r="O10" s="24" t="s">
        <v>33</v>
      </c>
      <c r="P10" s="24" t="s">
        <v>35</v>
      </c>
      <c r="Q10" s="24" t="s">
        <v>11</v>
      </c>
      <c r="R10" s="24" t="s">
        <v>190</v>
      </c>
      <c r="S10" s="24" t="s">
        <v>10</v>
      </c>
      <c r="T10" s="15"/>
      <c r="U10" s="15"/>
      <c r="V10" s="3" t="s">
        <v>478</v>
      </c>
      <c r="W10" s="593" t="s">
        <v>38</v>
      </c>
      <c r="AA10" s="2" t="s">
        <v>250</v>
      </c>
      <c r="AC10" s="450"/>
      <c r="AD10" s="51"/>
      <c r="AE10" s="51"/>
      <c r="AF10" s="51"/>
      <c r="AG10" s="51"/>
      <c r="AH10" s="51"/>
    </row>
    <row r="11" spans="1:34" ht="11.25">
      <c r="A11" s="15"/>
      <c r="B11" s="47" t="s">
        <v>1</v>
      </c>
      <c r="C11" s="24" t="s">
        <v>112</v>
      </c>
      <c r="D11" s="24" t="s">
        <v>143</v>
      </c>
      <c r="E11" s="44" t="s">
        <v>188</v>
      </c>
      <c r="F11" s="24" t="s">
        <v>32</v>
      </c>
      <c r="G11" s="25">
        <v>0.185</v>
      </c>
      <c r="H11" s="25" t="s">
        <v>36</v>
      </c>
      <c r="I11" s="105" t="s">
        <v>43</v>
      </c>
      <c r="J11" s="24" t="s">
        <v>37</v>
      </c>
      <c r="K11" s="15" t="s">
        <v>2</v>
      </c>
      <c r="L11" s="46" t="s">
        <v>1</v>
      </c>
      <c r="M11" s="24" t="s">
        <v>105</v>
      </c>
      <c r="N11" s="24" t="s">
        <v>42</v>
      </c>
      <c r="O11" s="25">
        <v>0.185</v>
      </c>
      <c r="P11" s="24" t="s">
        <v>36</v>
      </c>
      <c r="Q11" s="24" t="s">
        <v>37</v>
      </c>
      <c r="R11" s="24" t="s">
        <v>191</v>
      </c>
      <c r="S11" s="24" t="s">
        <v>43</v>
      </c>
      <c r="T11" s="15" t="s">
        <v>3</v>
      </c>
      <c r="U11" s="15"/>
      <c r="W11" s="593" t="s">
        <v>40</v>
      </c>
      <c r="AC11" s="450"/>
      <c r="AD11" s="51"/>
      <c r="AE11" s="51"/>
      <c r="AF11" s="51"/>
      <c r="AG11" s="51"/>
      <c r="AH11" s="51"/>
    </row>
    <row r="12" spans="1:34" ht="12">
      <c r="A12" s="59">
        <f aca="true" t="shared" si="0" ref="A12:A33">IF(B12="","",IF(C12+D12&gt;W12,"Ö",""))</f>
      </c>
      <c r="B12" s="45">
        <f>IF(K3="","",SUM(K3))</f>
      </c>
      <c r="C12" s="212">
        <f>IF(B12="","",IF(B12='uppdat-hjälpberäkn'!$N$16,'fiktiva talet'!K9*'uppdat-hjälpberäkn'!$N$24+IF(B12&gt;1998,R12/0.93,R12),'fiktiva talet'!K9+IF(B12&gt;1998,R12/0.93,R12)))</f>
      </c>
      <c r="D12" s="54"/>
      <c r="E12" s="26">
        <f>IF(B12="","",IF(W12&lt;D12+C12,IF(B12&lt;1999,W12,W12*0.93),IF(B12&lt;1999,D12+C12,(D12+C12)*0.93)))</f>
      </c>
      <c r="F12" s="26">
        <f>IF(N3="","",SUM(N3))</f>
      </c>
      <c r="G12" s="26">
        <f>IF(B12="","",SUM($G$11*E12))</f>
      </c>
      <c r="H12" s="26">
        <f>IF(B12="","",IF(P12="",0,P12*F12/N12))</f>
      </c>
      <c r="I12" s="26">
        <f>IF(B12="","",SUM((F12+G12+H12)*(LOOKUP(B12+1,'uppdat-hjälpberäkn'!$A$4:$A$95,'uppdat-hjälpberäkn'!$D$4:$D$95))))</f>
      </c>
      <c r="J12" s="26">
        <f>IF(B12="","",IF(Q12="",0,SUM(Q12*F12/N12)))</f>
      </c>
      <c r="K12" s="26">
        <f>IF(B12="","",SUM(F12+G12+H12+I12-J12))</f>
      </c>
      <c r="L12" s="45">
        <f aca="true" t="shared" si="1" ref="L12:L33">IF(B12="","",SUM(B12))</f>
      </c>
      <c r="M12" s="18"/>
      <c r="N12" s="26">
        <f>IF(L12="","",SUM(N3))</f>
      </c>
      <c r="O12" s="26">
        <f aca="true" t="shared" si="2" ref="O12:O33">IF(L12="","",SUM(M12*$O$11))</f>
      </c>
      <c r="P12" s="18"/>
      <c r="Q12" s="18"/>
      <c r="R12" s="213"/>
      <c r="S12" s="26">
        <f>IF(L12="","",SUM(N12+O12+P12)*(LOOKUP(L12+1,'uppdat-hjälpberäkn'!$A$4:$A$95,'uppdat-hjälpberäkn'!$D$4:$D$95)))</f>
      </c>
      <c r="T12" s="26">
        <f aca="true" t="shared" si="3" ref="T12:T33">IF(L12="","",SUM(N12+O12+P12+S12-Q12))</f>
      </c>
      <c r="U12" s="15"/>
      <c r="V12" s="595">
        <f>IF(B12="","",IF(B12='uppdat-hjälpberäkn'!$N$16,D12*'uppdat-hjälpberäkn'!$N$24,D12))</f>
      </c>
      <c r="W12" s="594">
        <f>IF(B12="","",LOOKUP(B12,'uppdat-hjälpberäkn'!$F$4:$F$94,'uppdat-hjälpberäkn'!$H$4:$H$94))</f>
      </c>
      <c r="X12" s="214">
        <f>SUM(C12:D12)</f>
        <v>0</v>
      </c>
      <c r="AC12" s="450"/>
      <c r="AD12" s="51"/>
      <c r="AE12" s="51"/>
      <c r="AF12" s="51"/>
      <c r="AG12" s="51"/>
      <c r="AH12" s="51"/>
    </row>
    <row r="13" spans="1:34" ht="12">
      <c r="A13" s="59">
        <f t="shared" si="0"/>
      </c>
      <c r="B13" s="45">
        <f aca="true" t="shared" si="4" ref="B13:B33">IF($N$7="","",IF($N$7&gt;B12,B12+1,""))</f>
      </c>
      <c r="C13" s="212">
        <f>IF(B13="","",IF(B13='uppdat-hjälpberäkn'!$N$16,'fiktiva talet'!K10*'uppdat-hjälpberäkn'!$N$24+IF(B13&gt;1998,R13/0.93,R13),'fiktiva talet'!K10+IF(B13&gt;1998,R13/0.93,R13)))</f>
      </c>
      <c r="D13" s="54"/>
      <c r="E13" s="26">
        <f aca="true" t="shared" si="5" ref="E13:E33">IF(B13="","",IF(W13&lt;V13+C13,IF(B13&lt;1999,W13,W13*0.93),IF(B13&lt;1999,V13+C13,(V13+C13)*0.93)))</f>
      </c>
      <c r="F13" s="26">
        <f>IF(B13="","",K12)</f>
      </c>
      <c r="G13" s="26">
        <f>IF(B13="","",SUM($G$11*E13))</f>
      </c>
      <c r="H13" s="26">
        <f>IF(B13="","",IF(P13="",0,P13*F13/N13))</f>
      </c>
      <c r="I13" s="26">
        <f>IF(B13="","",SUM((F13+G13+H13)*(LOOKUP(B13+1,'uppdat-hjälpberäkn'!$A$4:$A$95,'uppdat-hjälpberäkn'!$D$4:$D$95))))</f>
      </c>
      <c r="J13" s="26">
        <f>IF(B13="","",IF(Q13="",0,SUM(Q13*F13/N13)))</f>
      </c>
      <c r="K13" s="26">
        <f>IF(B13="","",SUM(F13+G13+H13+I13-J13))</f>
      </c>
      <c r="L13" s="45">
        <f t="shared" si="1"/>
      </c>
      <c r="M13" s="18"/>
      <c r="N13" s="26">
        <f aca="true" t="shared" si="6" ref="N13:N33">IF(L13="","",SUM(T12))</f>
      </c>
      <c r="O13" s="26">
        <f t="shared" si="2"/>
      </c>
      <c r="P13" s="18"/>
      <c r="Q13" s="18"/>
      <c r="R13" s="213"/>
      <c r="S13" s="26">
        <f>IF(L13="","",SUM(N13+O13+P13)*(LOOKUP(L13+1,'uppdat-hjälpberäkn'!$A$4:$A$95,'uppdat-hjälpberäkn'!$D$4:$D$95)))</f>
      </c>
      <c r="T13" s="26">
        <f t="shared" si="3"/>
      </c>
      <c r="U13" s="15"/>
      <c r="V13" s="595">
        <f>IF(B13="","",IF(B13='uppdat-hjälpberäkn'!$N$16,D13*'uppdat-hjälpberäkn'!$N$24,D13))</f>
      </c>
      <c r="W13" s="594">
        <f>IF(B13="","",LOOKUP(B13,'uppdat-hjälpberäkn'!$F$4:$F$94,'uppdat-hjälpberäkn'!$H$4:$H$94))</f>
      </c>
      <c r="X13" s="214">
        <f aca="true" t="shared" si="7" ref="X13:X33">SUM(C13:D13)</f>
        <v>0</v>
      </c>
      <c r="Z13" s="2" t="s">
        <v>253</v>
      </c>
      <c r="AC13" s="450"/>
      <c r="AD13" s="51"/>
      <c r="AE13" s="51"/>
      <c r="AF13" s="51"/>
      <c r="AG13" s="51"/>
      <c r="AH13" s="51"/>
    </row>
    <row r="14" spans="1:34" ht="12">
      <c r="A14" s="59">
        <f t="shared" si="0"/>
      </c>
      <c r="B14" s="45">
        <f t="shared" si="4"/>
      </c>
      <c r="C14" s="212">
        <f>IF(B14="","",IF(B14='uppdat-hjälpberäkn'!$N$16,'fiktiva talet'!K11*'uppdat-hjälpberäkn'!$N$24+IF(B14&gt;1998,R14/0.93,R14),'fiktiva talet'!K11+IF(B14&gt;1998,R14/0.93,R14)))</f>
      </c>
      <c r="D14" s="54"/>
      <c r="E14" s="26">
        <f t="shared" si="5"/>
      </c>
      <c r="F14" s="26">
        <f aca="true" t="shared" si="8" ref="F14:F33">IF(B14="","",K13)</f>
      </c>
      <c r="G14" s="26">
        <f aca="true" t="shared" si="9" ref="G14:G33">IF(B14="","",SUM($G$11*E14))</f>
      </c>
      <c r="H14" s="26">
        <f aca="true" t="shared" si="10" ref="H14:H22">IF(B14="","",IF(P14="",0,P14*F14/N14))</f>
      </c>
      <c r="I14" s="26">
        <f>IF(B14="","",SUM((F14+G14+H14)*(LOOKUP(B14+1,'uppdat-hjälpberäkn'!$A$4:$A$95,'uppdat-hjälpberäkn'!$D$4:$D$95))))</f>
      </c>
      <c r="J14" s="26">
        <f aca="true" t="shared" si="11" ref="J14:J22">IF(B14="","",IF(Q14="",0,SUM(Q14*F14/N14)))</f>
      </c>
      <c r="K14" s="26">
        <f aca="true" t="shared" si="12" ref="K14:K33">IF(B14="","",SUM(F14+G14+H14+I14-J14))</f>
      </c>
      <c r="L14" s="45">
        <f t="shared" si="1"/>
      </c>
      <c r="M14" s="18"/>
      <c r="N14" s="26">
        <f t="shared" si="6"/>
      </c>
      <c r="O14" s="26">
        <f t="shared" si="2"/>
      </c>
      <c r="P14" s="18"/>
      <c r="Q14" s="18"/>
      <c r="R14" s="213"/>
      <c r="S14" s="26">
        <f>IF(L14="","",SUM(N14+O14+P14)*(LOOKUP(L14+1,'uppdat-hjälpberäkn'!$A$4:$A$95,'uppdat-hjälpberäkn'!$D$4:$D$95)))</f>
      </c>
      <c r="T14" s="26">
        <f aca="true" t="shared" si="13" ref="T14:T22">IF(L14="","",SUM(N14+O14+P14+S14-Q14))</f>
      </c>
      <c r="U14" s="15"/>
      <c r="V14" s="595">
        <f>IF(B14="","",IF(B14='uppdat-hjälpberäkn'!$N$16,D14*'uppdat-hjälpberäkn'!$N$24,D14))</f>
      </c>
      <c r="W14" s="594">
        <f>IF(B14="","",LOOKUP(B14,'uppdat-hjälpberäkn'!$F$4:$F$94,'uppdat-hjälpberäkn'!$H$4:$H$94))</f>
      </c>
      <c r="X14" s="214">
        <f t="shared" si="7"/>
        <v>0</v>
      </c>
      <c r="Z14" s="2" t="s">
        <v>254</v>
      </c>
      <c r="AB14" s="402">
        <f>IF(AND(AA15="",AA16="",AA17=""),"",SMALL(AA15:AA17,1))</f>
        <v>0</v>
      </c>
      <c r="AC14" s="494"/>
      <c r="AD14" s="51"/>
      <c r="AE14" s="51"/>
      <c r="AF14" s="51"/>
      <c r="AG14" s="51"/>
      <c r="AH14" s="51"/>
    </row>
    <row r="15" spans="1:34" ht="12">
      <c r="A15" s="59">
        <f t="shared" si="0"/>
      </c>
      <c r="B15" s="45">
        <f t="shared" si="4"/>
      </c>
      <c r="C15" s="212">
        <f>IF(B15="","",IF(B15='uppdat-hjälpberäkn'!$N$16,'fiktiva talet'!K12*'uppdat-hjälpberäkn'!$N$24+IF(B15&gt;1998,R15/0.93,R15),'fiktiva talet'!K12+IF(B15&gt;1998,R15/0.93,R15)))</f>
      </c>
      <c r="D15" s="54"/>
      <c r="E15" s="26">
        <f t="shared" si="5"/>
      </c>
      <c r="F15" s="26">
        <f t="shared" si="8"/>
      </c>
      <c r="G15" s="26">
        <f t="shared" si="9"/>
      </c>
      <c r="H15" s="26">
        <f t="shared" si="10"/>
      </c>
      <c r="I15" s="26">
        <f>IF(B15="","",SUM((F15+G15+H15)*(LOOKUP(B15+1,'uppdat-hjälpberäkn'!$A$4:$A$95,'uppdat-hjälpberäkn'!$D$4:$D$95))))</f>
      </c>
      <c r="J15" s="26">
        <f t="shared" si="11"/>
      </c>
      <c r="K15" s="26">
        <f t="shared" si="12"/>
      </c>
      <c r="L15" s="45">
        <f t="shared" si="1"/>
      </c>
      <c r="M15" s="18"/>
      <c r="N15" s="26">
        <f t="shared" si="6"/>
      </c>
      <c r="O15" s="26">
        <f t="shared" si="2"/>
      </c>
      <c r="P15" s="18"/>
      <c r="Q15" s="18"/>
      <c r="R15" s="213"/>
      <c r="S15" s="26">
        <f>IF(L15="","",SUM(N15+O15+P15)*(LOOKUP(L15+1,'uppdat-hjälpberäkn'!$A$4:$A$95,'uppdat-hjälpberäkn'!$D$4:$D$95)))</f>
      </c>
      <c r="T15" s="26">
        <f t="shared" si="13"/>
      </c>
      <c r="U15" s="15"/>
      <c r="V15" s="595">
        <f>IF(B15="","",IF(B15='uppdat-hjälpberäkn'!$N$16,D15*'uppdat-hjälpberäkn'!$N$24,D15))</f>
      </c>
      <c r="W15" s="594">
        <f>IF(B15="","",LOOKUP(B15,'uppdat-hjälpberäkn'!$F$4:$F$94,'uppdat-hjälpberäkn'!$H$4:$H$94))</f>
      </c>
      <c r="X15" s="214">
        <f t="shared" si="7"/>
        <v>0</v>
      </c>
      <c r="AA15" s="250">
        <f>IF(S3&gt;0%,P3,"")</f>
        <v>0</v>
      </c>
      <c r="AC15" s="450"/>
      <c r="AD15" s="51"/>
      <c r="AE15" s="51"/>
      <c r="AF15" s="51"/>
      <c r="AG15" s="51"/>
      <c r="AH15" s="51"/>
    </row>
    <row r="16" spans="1:34" ht="12">
      <c r="A16" s="59">
        <f t="shared" si="0"/>
      </c>
      <c r="B16" s="45">
        <f t="shared" si="4"/>
      </c>
      <c r="C16" s="212">
        <f>IF(B16="","",IF(B16='uppdat-hjälpberäkn'!$N$16,'fiktiva talet'!K13*'uppdat-hjälpberäkn'!$N$24+IF(B16&gt;1998,R16/0.93,R16),'fiktiva talet'!K13+IF(B16&gt;1998,R16/0.93,R16)))</f>
      </c>
      <c r="D16" s="54"/>
      <c r="E16" s="26">
        <f t="shared" si="5"/>
      </c>
      <c r="F16" s="26">
        <f t="shared" si="8"/>
      </c>
      <c r="G16" s="26">
        <f t="shared" si="9"/>
      </c>
      <c r="H16" s="26">
        <f t="shared" si="10"/>
      </c>
      <c r="I16" s="26">
        <f>IF(B16="","",SUM((F16+G16+H16)*(LOOKUP(B16+1,'uppdat-hjälpberäkn'!$A$4:$A$95,'uppdat-hjälpberäkn'!$D$4:$D$95))))</f>
      </c>
      <c r="J16" s="26">
        <f t="shared" si="11"/>
      </c>
      <c r="K16" s="26">
        <f t="shared" si="12"/>
      </c>
      <c r="L16" s="45">
        <f t="shared" si="1"/>
      </c>
      <c r="M16" s="18"/>
      <c r="N16" s="26">
        <f t="shared" si="6"/>
      </c>
      <c r="O16" s="26">
        <f t="shared" si="2"/>
      </c>
      <c r="P16" s="18"/>
      <c r="Q16" s="18"/>
      <c r="R16" s="213"/>
      <c r="S16" s="26">
        <f>IF(L16="","",SUM(N16+O16+P16)*(LOOKUP(L16+1,'uppdat-hjälpberäkn'!$A$4:$A$95,'uppdat-hjälpberäkn'!$D$4:$D$95)))</f>
      </c>
      <c r="T16" s="26">
        <f t="shared" si="13"/>
      </c>
      <c r="U16" s="15"/>
      <c r="V16" s="235">
        <f>IF(B16="","",IF(B16='uppdat-hjälpberäkn'!$N$16,D16*'uppdat-hjälpberäkn'!$N$24,D16))</f>
      </c>
      <c r="W16" s="594">
        <f>IF(B16="","",LOOKUP(B16,'uppdat-hjälpberäkn'!$F$4:$F$94,'uppdat-hjälpberäkn'!$H$4:$H$94))</f>
      </c>
      <c r="X16" s="214">
        <f t="shared" si="7"/>
        <v>0</v>
      </c>
      <c r="AA16" s="250">
        <f>IF(S4&gt;0%,P4,"")</f>
        <v>0</v>
      </c>
      <c r="AC16" s="450"/>
      <c r="AD16" s="51"/>
      <c r="AE16" s="51"/>
      <c r="AF16" s="51"/>
      <c r="AG16" s="51"/>
      <c r="AH16" s="51"/>
    </row>
    <row r="17" spans="1:34" ht="12">
      <c r="A17" s="59">
        <f t="shared" si="0"/>
      </c>
      <c r="B17" s="45">
        <f t="shared" si="4"/>
      </c>
      <c r="C17" s="212">
        <f>IF(B17="","",IF(B17='uppdat-hjälpberäkn'!$N$16,'fiktiva talet'!K14*'uppdat-hjälpberäkn'!$N$24+IF(B17&gt;1998,R17/0.93,R17),'fiktiva talet'!K14+IF(B17&gt;1998,R17/0.93,R17)))</f>
      </c>
      <c r="D17" s="54"/>
      <c r="E17" s="26">
        <f t="shared" si="5"/>
      </c>
      <c r="F17" s="26">
        <f t="shared" si="8"/>
      </c>
      <c r="G17" s="26">
        <f t="shared" si="9"/>
      </c>
      <c r="H17" s="26">
        <f t="shared" si="10"/>
      </c>
      <c r="I17" s="26">
        <f>IF(B17="","",SUM((F17+G17+H17)*(LOOKUP(B17+1,'uppdat-hjälpberäkn'!$A$4:$A$95,'uppdat-hjälpberäkn'!$D$4:$D$95))))</f>
      </c>
      <c r="J17" s="26">
        <f t="shared" si="11"/>
      </c>
      <c r="K17" s="26">
        <f t="shared" si="12"/>
      </c>
      <c r="L17" s="45">
        <f t="shared" si="1"/>
      </c>
      <c r="M17" s="18"/>
      <c r="N17" s="26">
        <f t="shared" si="6"/>
      </c>
      <c r="O17" s="26">
        <f t="shared" si="2"/>
      </c>
      <c r="P17" s="18"/>
      <c r="Q17" s="18"/>
      <c r="R17" s="213"/>
      <c r="S17" s="26">
        <f>IF(L17="","",SUM(N17+O17+P17)*(LOOKUP(L17+1,'uppdat-hjälpberäkn'!$A$4:$A$95,'uppdat-hjälpberäkn'!$D$4:$D$95)))</f>
      </c>
      <c r="T17" s="26">
        <f t="shared" si="13"/>
      </c>
      <c r="U17" s="15"/>
      <c r="V17" s="595">
        <f>IF(B17="","",IF(B17='uppdat-hjälpberäkn'!$N$16,D17*'uppdat-hjälpberäkn'!$N$24,D17))</f>
      </c>
      <c r="W17" s="594">
        <f>IF(B17="","",LOOKUP(B17,'uppdat-hjälpberäkn'!$F$4:$F$94,'uppdat-hjälpberäkn'!$H$4:$H$94))</f>
      </c>
      <c r="X17" s="214">
        <f t="shared" si="7"/>
        <v>0</v>
      </c>
      <c r="AA17" s="250">
        <f>IF(S5&gt;0%,P5,"")</f>
        <v>0</v>
      </c>
      <c r="AC17" s="450"/>
      <c r="AD17" s="51"/>
      <c r="AE17" s="51"/>
      <c r="AF17" s="51"/>
      <c r="AG17" s="51"/>
      <c r="AH17" s="51"/>
    </row>
    <row r="18" spans="1:34" ht="12">
      <c r="A18" s="59">
        <f t="shared" si="0"/>
      </c>
      <c r="B18" s="45">
        <f t="shared" si="4"/>
      </c>
      <c r="C18" s="212">
        <f>IF(B18="","",IF(B18='uppdat-hjälpberäkn'!$N$16,'fiktiva talet'!K15*'uppdat-hjälpberäkn'!$N$24+IF(B18&gt;1998,R18/0.93,R18),'fiktiva talet'!K15+IF(B18&gt;1998,R18/0.93,R18)))</f>
      </c>
      <c r="D18" s="54"/>
      <c r="E18" s="26">
        <f t="shared" si="5"/>
      </c>
      <c r="F18" s="26">
        <f t="shared" si="8"/>
      </c>
      <c r="G18" s="26">
        <f t="shared" si="9"/>
      </c>
      <c r="H18" s="26">
        <f t="shared" si="10"/>
      </c>
      <c r="I18" s="26">
        <f>IF(B18="","",SUM((F18+G18+H18)*(LOOKUP(B18+1,'uppdat-hjälpberäkn'!$A$4:$A$95,'uppdat-hjälpberäkn'!$D$4:$D$95))))</f>
      </c>
      <c r="J18" s="26">
        <f t="shared" si="11"/>
      </c>
      <c r="K18" s="26">
        <f t="shared" si="12"/>
      </c>
      <c r="L18" s="45">
        <f t="shared" si="1"/>
      </c>
      <c r="M18" s="18"/>
      <c r="N18" s="26">
        <f t="shared" si="6"/>
      </c>
      <c r="O18" s="26">
        <f t="shared" si="2"/>
      </c>
      <c r="P18" s="18"/>
      <c r="Q18" s="18"/>
      <c r="R18" s="213"/>
      <c r="S18" s="26">
        <f>IF(L18="","",SUM(N18+O18+P18)*(LOOKUP(L18+1,'uppdat-hjälpberäkn'!$A$4:$A$95,'uppdat-hjälpberäkn'!$D$4:$D$95)))</f>
      </c>
      <c r="T18" s="26">
        <f t="shared" si="13"/>
      </c>
      <c r="U18" s="15"/>
      <c r="V18" s="595">
        <f>IF(B18="","",IF(B18='uppdat-hjälpberäkn'!$N$16,D18*'uppdat-hjälpberäkn'!$N$24,D18))</f>
      </c>
      <c r="W18" s="594">
        <f>IF(B18="","",LOOKUP(B18,'uppdat-hjälpberäkn'!$F$4:$F$94,'uppdat-hjälpberäkn'!$H$4:$H$94))</f>
      </c>
      <c r="X18" s="214">
        <f t="shared" si="7"/>
        <v>0</v>
      </c>
      <c r="Z18" s="2" t="s">
        <v>255</v>
      </c>
      <c r="AC18" s="450"/>
      <c r="AD18" s="51"/>
      <c r="AE18" s="51"/>
      <c r="AF18" s="51"/>
      <c r="AG18" s="51"/>
      <c r="AH18" s="51"/>
    </row>
    <row r="19" spans="1:34" ht="12">
      <c r="A19" s="59">
        <f t="shared" si="0"/>
      </c>
      <c r="B19" s="45">
        <f t="shared" si="4"/>
      </c>
      <c r="C19" s="212">
        <f>IF(B19="","",IF(B19='uppdat-hjälpberäkn'!$N$16,'fiktiva talet'!K16*'uppdat-hjälpberäkn'!$N$24+IF(B19&gt;1998,R19/0.93,R19),'fiktiva talet'!K16+IF(B19&gt;1998,R19/0.93,R19)))</f>
      </c>
      <c r="D19" s="54"/>
      <c r="E19" s="26">
        <f t="shared" si="5"/>
      </c>
      <c r="F19" s="26">
        <f t="shared" si="8"/>
      </c>
      <c r="G19" s="26">
        <f t="shared" si="9"/>
      </c>
      <c r="H19" s="26">
        <f t="shared" si="10"/>
      </c>
      <c r="I19" s="26">
        <f>IF(B19="","",SUM((F19+G19+H19)*(LOOKUP(B19+1,'uppdat-hjälpberäkn'!$A$4:$A$95,'uppdat-hjälpberäkn'!$D$4:$D$95))))</f>
      </c>
      <c r="J19" s="26">
        <f t="shared" si="11"/>
      </c>
      <c r="K19" s="26">
        <f t="shared" si="12"/>
      </c>
      <c r="L19" s="45">
        <f t="shared" si="1"/>
      </c>
      <c r="M19" s="18"/>
      <c r="N19" s="26">
        <f t="shared" si="6"/>
      </c>
      <c r="O19" s="26">
        <f t="shared" si="2"/>
      </c>
      <c r="P19" s="18"/>
      <c r="Q19" s="18"/>
      <c r="R19" s="213"/>
      <c r="S19" s="26">
        <f>IF(L19="","",SUM(N19+O19+P19)*(LOOKUP(L19+1,'uppdat-hjälpberäkn'!$A$4:$A$95,'uppdat-hjälpberäkn'!$D$4:$D$95)))</f>
      </c>
      <c r="T19" s="26">
        <f t="shared" si="13"/>
      </c>
      <c r="U19" s="15"/>
      <c r="V19" s="595">
        <f>IF(B19="","",IF(B19='uppdat-hjälpberäkn'!$N$16,D19*'uppdat-hjälpberäkn'!$N$24,D19))</f>
      </c>
      <c r="W19" s="594">
        <f>IF(B19="","",LOOKUP(B19,'uppdat-hjälpberäkn'!$F$4:$F$94,'uppdat-hjälpberäkn'!$H$4:$H$94))</f>
      </c>
      <c r="X19" s="214">
        <f t="shared" si="7"/>
        <v>0</v>
      </c>
      <c r="Z19" s="2" t="s">
        <v>256</v>
      </c>
      <c r="AC19" s="494"/>
      <c r="AD19" s="51"/>
      <c r="AE19" s="51"/>
      <c r="AF19" s="51"/>
      <c r="AG19" s="51"/>
      <c r="AH19" s="51"/>
    </row>
    <row r="20" spans="1:34" ht="12">
      <c r="A20" s="59">
        <f t="shared" si="0"/>
      </c>
      <c r="B20" s="45">
        <f t="shared" si="4"/>
      </c>
      <c r="C20" s="212">
        <f>IF(B20="","",IF(B20='uppdat-hjälpberäkn'!$N$16,'fiktiva talet'!K17*'uppdat-hjälpberäkn'!$N$24+IF(B20&gt;1998,R20/0.93,R20),'fiktiva talet'!K17+IF(B20&gt;1998,R20/0.93,R20)))</f>
      </c>
      <c r="D20" s="54"/>
      <c r="E20" s="26">
        <f t="shared" si="5"/>
      </c>
      <c r="F20" s="26">
        <f t="shared" si="8"/>
      </c>
      <c r="G20" s="26">
        <f t="shared" si="9"/>
      </c>
      <c r="H20" s="26">
        <f t="shared" si="10"/>
      </c>
      <c r="I20" s="26">
        <f>IF(B20="","",SUM((F20+G20+H20)*(LOOKUP(B20+1,'uppdat-hjälpberäkn'!$A$4:$A$95,'uppdat-hjälpberäkn'!$D$4:$D$95))))</f>
      </c>
      <c r="J20" s="26">
        <f t="shared" si="11"/>
      </c>
      <c r="K20" s="26">
        <f t="shared" si="12"/>
      </c>
      <c r="L20" s="45">
        <f t="shared" si="1"/>
      </c>
      <c r="M20" s="18"/>
      <c r="N20" s="26">
        <f t="shared" si="6"/>
      </c>
      <c r="O20" s="26">
        <f t="shared" si="2"/>
      </c>
      <c r="P20" s="18"/>
      <c r="Q20" s="18"/>
      <c r="R20" s="213"/>
      <c r="S20" s="26">
        <f>IF(L20="","",SUM(N20+O20+P20)*(LOOKUP(L20+1,'uppdat-hjälpberäkn'!$A$4:$A$95,'uppdat-hjälpberäkn'!$D$4:$D$95)))</f>
      </c>
      <c r="T20" s="26">
        <f t="shared" si="13"/>
      </c>
      <c r="U20" s="15"/>
      <c r="V20" s="595">
        <f>IF(B20="","",IF(B20='uppdat-hjälpberäkn'!$N$16,D20*'uppdat-hjälpberäkn'!$N$24,D20))</f>
      </c>
      <c r="W20" s="594">
        <f>IF(B20="","",LOOKUP(B20,'uppdat-hjälpberäkn'!$F$4:$F$94,'uppdat-hjälpberäkn'!$H$4:$H$94))</f>
      </c>
      <c r="X20" s="214">
        <f t="shared" si="7"/>
        <v>0</v>
      </c>
      <c r="AC20" s="494"/>
      <c r="AD20" s="51"/>
      <c r="AE20" s="51"/>
      <c r="AF20" s="51"/>
      <c r="AG20" s="51"/>
      <c r="AH20" s="51"/>
    </row>
    <row r="21" spans="1:34" ht="12">
      <c r="A21" s="59">
        <f t="shared" si="0"/>
      </c>
      <c r="B21" s="45">
        <f t="shared" si="4"/>
      </c>
      <c r="C21" s="212">
        <f>IF(B21="","",IF(B21='uppdat-hjälpberäkn'!$N$16,'fiktiva talet'!K18*'uppdat-hjälpberäkn'!$N$24+IF(B21&gt;1998,R21/0.93,R21),'fiktiva talet'!K18+IF(B21&gt;1998,R21/0.93,R21)))</f>
      </c>
      <c r="D21" s="54"/>
      <c r="E21" s="26">
        <f t="shared" si="5"/>
      </c>
      <c r="F21" s="26">
        <f t="shared" si="8"/>
      </c>
      <c r="G21" s="26">
        <f t="shared" si="9"/>
      </c>
      <c r="H21" s="26">
        <f t="shared" si="10"/>
      </c>
      <c r="I21" s="26">
        <f>IF(B21="","",SUM((F21+G21+H21)*(LOOKUP(B21+1,'uppdat-hjälpberäkn'!$A$4:$A$95,'uppdat-hjälpberäkn'!$D$4:$D$95))))</f>
      </c>
      <c r="J21" s="26">
        <f t="shared" si="11"/>
      </c>
      <c r="K21" s="26">
        <f t="shared" si="12"/>
      </c>
      <c r="L21" s="45">
        <f t="shared" si="1"/>
      </c>
      <c r="M21" s="18"/>
      <c r="N21" s="26">
        <f t="shared" si="6"/>
      </c>
      <c r="O21" s="26">
        <f t="shared" si="2"/>
      </c>
      <c r="P21" s="18"/>
      <c r="Q21" s="18"/>
      <c r="R21" s="213"/>
      <c r="S21" s="26">
        <f>IF(L21="","",SUM(N21+O21+P21)*(LOOKUP(L21+1,'uppdat-hjälpberäkn'!$A$4:$A$95,'uppdat-hjälpberäkn'!$D$4:$D$95)))</f>
      </c>
      <c r="T21" s="26">
        <f t="shared" si="13"/>
      </c>
      <c r="U21" s="15"/>
      <c r="V21" s="595">
        <f>IF(B21="","",IF(B21='uppdat-hjälpberäkn'!$N$16,D21*'uppdat-hjälpberäkn'!$N$24,D21))</f>
      </c>
      <c r="W21" s="594">
        <f>IF(B21="","",LOOKUP(B21,'uppdat-hjälpberäkn'!$F$4:$F$94,'uppdat-hjälpberäkn'!$H$4:$H$94))</f>
      </c>
      <c r="X21" s="214">
        <f t="shared" si="7"/>
        <v>0</v>
      </c>
      <c r="AC21" s="403"/>
      <c r="AD21" s="51"/>
      <c r="AE21" s="51"/>
      <c r="AF21" s="51"/>
      <c r="AG21" s="51"/>
      <c r="AH21" s="51"/>
    </row>
    <row r="22" spans="1:34" ht="12">
      <c r="A22" s="59">
        <f t="shared" si="0"/>
      </c>
      <c r="B22" s="45">
        <f t="shared" si="4"/>
      </c>
      <c r="C22" s="212">
        <f>IF(B22="","",IF(B22='uppdat-hjälpberäkn'!$N$16,'fiktiva talet'!K19*'uppdat-hjälpberäkn'!$N$24+IF(B22&gt;1998,R22/0.93,R22),'fiktiva talet'!K19+IF(B22&gt;1998,R22/0.93,R22)))</f>
      </c>
      <c r="D22" s="54"/>
      <c r="E22" s="26">
        <f t="shared" si="5"/>
      </c>
      <c r="F22" s="26">
        <f t="shared" si="8"/>
      </c>
      <c r="G22" s="26">
        <f t="shared" si="9"/>
      </c>
      <c r="H22" s="26">
        <f t="shared" si="10"/>
      </c>
      <c r="I22" s="26">
        <f>IF(B22="","",SUM((F22+G22+H22)*(LOOKUP(B22+1,'uppdat-hjälpberäkn'!$A$4:$A$95,'uppdat-hjälpberäkn'!$D$4:$D$95))))</f>
      </c>
      <c r="J22" s="26">
        <f t="shared" si="11"/>
      </c>
      <c r="K22" s="26">
        <f t="shared" si="12"/>
      </c>
      <c r="L22" s="45">
        <f t="shared" si="1"/>
      </c>
      <c r="M22" s="18"/>
      <c r="N22" s="26">
        <f t="shared" si="6"/>
      </c>
      <c r="O22" s="26">
        <f t="shared" si="2"/>
      </c>
      <c r="P22" s="18"/>
      <c r="Q22" s="18"/>
      <c r="R22" s="213"/>
      <c r="S22" s="26">
        <f>IF(L22="","",SUM(N22+O22+P22)*(LOOKUP(L22+1,'uppdat-hjälpberäkn'!$A$4:$A$95,'uppdat-hjälpberäkn'!$D$4:$D$95)))</f>
      </c>
      <c r="T22" s="26">
        <f t="shared" si="13"/>
      </c>
      <c r="U22" s="15"/>
      <c r="V22" s="595">
        <f>IF(B22="","",IF(B22='uppdat-hjälpberäkn'!$N$16,D22*'uppdat-hjälpberäkn'!$N$24,D22))</f>
      </c>
      <c r="W22" s="594">
        <f>IF(B22="","",LOOKUP(B22,'uppdat-hjälpberäkn'!$F$4:$F$94,'uppdat-hjälpberäkn'!$H$4:$H$94))</f>
      </c>
      <c r="X22" s="214">
        <f t="shared" si="7"/>
        <v>0</v>
      </c>
      <c r="AC22" s="494"/>
      <c r="AD22" s="51"/>
      <c r="AE22" s="51"/>
      <c r="AF22" s="51"/>
      <c r="AG22" s="51"/>
      <c r="AH22" s="51"/>
    </row>
    <row r="23" spans="1:34" ht="12">
      <c r="A23" s="59">
        <f t="shared" si="0"/>
      </c>
      <c r="B23" s="45">
        <f t="shared" si="4"/>
      </c>
      <c r="C23" s="212">
        <f>IF(B23="","",IF(B23='uppdat-hjälpberäkn'!$N$16,'fiktiva talet'!K20*'uppdat-hjälpberäkn'!$N$24+IF(B23&gt;1998,R23/0.93,R23),'fiktiva talet'!K20+IF(B23&gt;1998,R23/0.93,R23)))</f>
      </c>
      <c r="D23" s="54"/>
      <c r="E23" s="26">
        <f t="shared" si="5"/>
      </c>
      <c r="F23" s="26">
        <f t="shared" si="8"/>
      </c>
      <c r="G23" s="26">
        <f t="shared" si="9"/>
      </c>
      <c r="H23" s="26">
        <f aca="true" t="shared" si="14" ref="H23:H33">IF(B23="","",IF(P23="",0,P23*F23/N23))</f>
      </c>
      <c r="I23" s="26">
        <f>IF(B23="","",SUM((F23+G23+H23)*(LOOKUP(B23+1,'uppdat-hjälpberäkn'!$A$4:$A$95,'uppdat-hjälpberäkn'!$D$4:$D$95))))</f>
      </c>
      <c r="J23" s="26">
        <f aca="true" t="shared" si="15" ref="J23:J33">IF(B23="","",IF(Q23="",0,SUM(Q23*F23/N23)))</f>
      </c>
      <c r="K23" s="26">
        <f t="shared" si="12"/>
      </c>
      <c r="L23" s="45">
        <f t="shared" si="1"/>
      </c>
      <c r="M23" s="18"/>
      <c r="N23" s="26">
        <f t="shared" si="6"/>
      </c>
      <c r="O23" s="26">
        <f t="shared" si="2"/>
      </c>
      <c r="P23" s="18"/>
      <c r="Q23" s="18"/>
      <c r="R23" s="213"/>
      <c r="S23" s="26">
        <f>IF(L23="","",SUM(N23+O23+P23)*(LOOKUP(L23+1,'uppdat-hjälpberäkn'!$A$4:$A$95,'uppdat-hjälpberäkn'!$D$4:$D$95)))</f>
      </c>
      <c r="T23" s="26">
        <f t="shared" si="3"/>
      </c>
      <c r="U23" s="15"/>
      <c r="V23" s="595">
        <f>IF(B23="","",IF(B23='uppdat-hjälpberäkn'!$N$16,D23*'uppdat-hjälpberäkn'!$N$24,D23))</f>
      </c>
      <c r="W23" s="594">
        <f>IF(B23="","",LOOKUP(B23,'uppdat-hjälpberäkn'!$F$4:$F$94,'uppdat-hjälpberäkn'!$H$4:$H$94))</f>
      </c>
      <c r="X23" s="214">
        <f t="shared" si="7"/>
        <v>0</v>
      </c>
      <c r="AC23" s="403"/>
      <c r="AD23" s="51"/>
      <c r="AE23" s="51"/>
      <c r="AF23" s="51"/>
      <c r="AG23" s="51"/>
      <c r="AH23" s="51"/>
    </row>
    <row r="24" spans="1:34" ht="12">
      <c r="A24" s="59">
        <f t="shared" si="0"/>
      </c>
      <c r="B24" s="45">
        <f t="shared" si="4"/>
      </c>
      <c r="C24" s="212">
        <f>IF(B24="","",IF(B24='uppdat-hjälpberäkn'!$N$16,'fiktiva talet'!K21*'uppdat-hjälpberäkn'!$N$24+IF(B24&gt;1998,R24/0.93,R24),'fiktiva talet'!K21+IF(B24&gt;1998,R24/0.93,R24)))</f>
      </c>
      <c r="D24" s="54"/>
      <c r="E24" s="26">
        <f t="shared" si="5"/>
      </c>
      <c r="F24" s="26">
        <f t="shared" si="8"/>
      </c>
      <c r="G24" s="26">
        <f t="shared" si="9"/>
      </c>
      <c r="H24" s="26">
        <f t="shared" si="14"/>
      </c>
      <c r="I24" s="26">
        <f>IF(B24="","",SUM((F24+G24+H24)*(LOOKUP(B24+1,'uppdat-hjälpberäkn'!$A$4:$A$95,'uppdat-hjälpberäkn'!$D$4:$D$95))))</f>
      </c>
      <c r="J24" s="26">
        <f t="shared" si="15"/>
      </c>
      <c r="K24" s="26">
        <f t="shared" si="12"/>
      </c>
      <c r="L24" s="45">
        <f t="shared" si="1"/>
      </c>
      <c r="M24" s="18"/>
      <c r="N24" s="26">
        <f t="shared" si="6"/>
      </c>
      <c r="O24" s="26">
        <f t="shared" si="2"/>
      </c>
      <c r="P24" s="18"/>
      <c r="Q24" s="18"/>
      <c r="R24" s="213"/>
      <c r="S24" s="26">
        <f>IF(L24="","",SUM(N24+O24+P24)*(LOOKUP(L24+1,'uppdat-hjälpberäkn'!$A$4:$A$95,'uppdat-hjälpberäkn'!$D$4:$D$95)))</f>
      </c>
      <c r="T24" s="26">
        <f t="shared" si="3"/>
      </c>
      <c r="U24" s="15"/>
      <c r="V24" s="595">
        <f>IF(B24="","",IF(B24='uppdat-hjälpberäkn'!$N$16,D24*'uppdat-hjälpberäkn'!$N$24,D24))</f>
      </c>
      <c r="W24" s="594">
        <f>IF(B24="","",LOOKUP(B24,'uppdat-hjälpberäkn'!$F$4:$F$94,'uppdat-hjälpberäkn'!$H$4:$H$94))</f>
      </c>
      <c r="X24" s="214">
        <f t="shared" si="7"/>
        <v>0</v>
      </c>
      <c r="AC24" s="450"/>
      <c r="AD24" s="51"/>
      <c r="AE24" s="51"/>
      <c r="AF24" s="51"/>
      <c r="AG24" s="51"/>
      <c r="AH24" s="51"/>
    </row>
    <row r="25" spans="1:34" ht="12">
      <c r="A25" s="59">
        <f t="shared" si="0"/>
      </c>
      <c r="B25" s="45">
        <f t="shared" si="4"/>
      </c>
      <c r="C25" s="212">
        <f>IF(B25="","",IF(B25='uppdat-hjälpberäkn'!$N$16,'fiktiva talet'!K22*'uppdat-hjälpberäkn'!$N$24+IF(B25&gt;1998,R25/0.93,R25),'fiktiva talet'!K22+IF(B25&gt;1998,R25/0.93,R25)))</f>
      </c>
      <c r="D25" s="54"/>
      <c r="E25" s="26">
        <f t="shared" si="5"/>
      </c>
      <c r="F25" s="26">
        <f t="shared" si="8"/>
      </c>
      <c r="G25" s="26">
        <f t="shared" si="9"/>
      </c>
      <c r="H25" s="26">
        <f t="shared" si="14"/>
      </c>
      <c r="I25" s="26">
        <f>IF(B25="","",SUM((F25+G25+H25)*(LOOKUP(B25+1,'uppdat-hjälpberäkn'!$A$4:$A$95,'uppdat-hjälpberäkn'!$D$4:$D$95))))</f>
      </c>
      <c r="J25" s="26">
        <f t="shared" si="15"/>
      </c>
      <c r="K25" s="26">
        <f t="shared" si="12"/>
      </c>
      <c r="L25" s="45">
        <f t="shared" si="1"/>
      </c>
      <c r="M25" s="18"/>
      <c r="N25" s="26">
        <f t="shared" si="6"/>
      </c>
      <c r="O25" s="26">
        <f t="shared" si="2"/>
      </c>
      <c r="P25" s="18"/>
      <c r="Q25" s="18"/>
      <c r="R25" s="213"/>
      <c r="S25" s="26">
        <f>IF(L25="","",SUM(N25+O25+P25)*(LOOKUP(L25+1,'uppdat-hjälpberäkn'!$A$4:$A$95,'uppdat-hjälpberäkn'!$D$4:$D$95)))</f>
      </c>
      <c r="T25" s="26">
        <f t="shared" si="3"/>
      </c>
      <c r="U25" s="15"/>
      <c r="V25" s="595">
        <f>IF(B25="","",IF(B25='uppdat-hjälpberäkn'!$N$16,D25*'uppdat-hjälpberäkn'!$N$24,D25))</f>
      </c>
      <c r="W25" s="594">
        <f>IF(B25="","",LOOKUP(B25,'uppdat-hjälpberäkn'!$F$4:$F$94,'uppdat-hjälpberäkn'!$H$4:$H$94))</f>
      </c>
      <c r="X25" s="214">
        <f t="shared" si="7"/>
        <v>0</v>
      </c>
      <c r="AC25" s="403"/>
      <c r="AD25" s="51"/>
      <c r="AE25" s="51"/>
      <c r="AF25" s="51"/>
      <c r="AG25" s="51"/>
      <c r="AH25" s="51"/>
    </row>
    <row r="26" spans="1:35" ht="12">
      <c r="A26" s="59">
        <f t="shared" si="0"/>
      </c>
      <c r="B26" s="45">
        <f t="shared" si="4"/>
      </c>
      <c r="C26" s="212">
        <f>IF(B26="","",IF(B26='uppdat-hjälpberäkn'!$N$16,'fiktiva talet'!K23*'uppdat-hjälpberäkn'!$N$24+IF(B26&gt;1998,R26/0.93,R26),'fiktiva talet'!K23+IF(B26&gt;1998,R26/0.93,R26)))</f>
      </c>
      <c r="D26" s="54"/>
      <c r="E26" s="26">
        <f t="shared" si="5"/>
      </c>
      <c r="F26" s="26">
        <f t="shared" si="8"/>
      </c>
      <c r="G26" s="26">
        <f t="shared" si="9"/>
      </c>
      <c r="H26" s="26">
        <f t="shared" si="14"/>
      </c>
      <c r="I26" s="26">
        <f>IF(B26="","",SUM((F26+G26+H26)*(LOOKUP(B26+1,'uppdat-hjälpberäkn'!$A$4:$A$95,'uppdat-hjälpberäkn'!$D$4:$D$95))))</f>
      </c>
      <c r="J26" s="26">
        <f t="shared" si="15"/>
      </c>
      <c r="K26" s="26">
        <f t="shared" si="12"/>
      </c>
      <c r="L26" s="45">
        <f t="shared" si="1"/>
      </c>
      <c r="M26" s="18"/>
      <c r="N26" s="26">
        <f t="shared" si="6"/>
      </c>
      <c r="O26" s="26">
        <f t="shared" si="2"/>
      </c>
      <c r="P26" s="18"/>
      <c r="Q26" s="18"/>
      <c r="R26" s="213"/>
      <c r="S26" s="26">
        <f>IF(L26="","",SUM(N26+O26+P26)*(LOOKUP(L26+1,'uppdat-hjälpberäkn'!$A$4:$A$95,'uppdat-hjälpberäkn'!$D$4:$D$95)))</f>
      </c>
      <c r="T26" s="26">
        <f t="shared" si="3"/>
      </c>
      <c r="U26" s="15"/>
      <c r="V26" s="595">
        <f>IF(B26="","",IF(B26='uppdat-hjälpberäkn'!$N$16,D26*'uppdat-hjälpberäkn'!$N$24,D26))</f>
      </c>
      <c r="W26" s="594">
        <f>IF(B26="","",LOOKUP(B26,'uppdat-hjälpberäkn'!$F$4:$F$94,'uppdat-hjälpberäkn'!$H$4:$H$94))</f>
      </c>
      <c r="X26" s="214">
        <f t="shared" si="7"/>
        <v>0</v>
      </c>
      <c r="AC26" s="403"/>
      <c r="AD26" s="51"/>
      <c r="AE26" s="51"/>
      <c r="AF26" s="51"/>
      <c r="AG26" s="51"/>
      <c r="AH26" s="51"/>
      <c r="AI26" s="3"/>
    </row>
    <row r="27" spans="1:35" ht="12">
      <c r="A27" s="59">
        <f t="shared" si="0"/>
      </c>
      <c r="B27" s="45">
        <f t="shared" si="4"/>
      </c>
      <c r="C27" s="212">
        <f>IF(B27="","",IF(B27='uppdat-hjälpberäkn'!$N$16,'fiktiva talet'!K24*'uppdat-hjälpberäkn'!$N$24+IF(B27&gt;1998,R27/0.93,R27),'fiktiva talet'!K24+IF(B27&gt;1998,R27/0.93,R27)))</f>
      </c>
      <c r="D27" s="54"/>
      <c r="E27" s="26">
        <f t="shared" si="5"/>
      </c>
      <c r="F27" s="26">
        <f t="shared" si="8"/>
      </c>
      <c r="G27" s="26">
        <f t="shared" si="9"/>
      </c>
      <c r="H27" s="26">
        <f t="shared" si="14"/>
      </c>
      <c r="I27" s="26">
        <f>IF(B27="","",SUM((F27+G27+H27)*(LOOKUP(B27+1,'uppdat-hjälpberäkn'!$A$4:$A$95,'uppdat-hjälpberäkn'!$D$4:$D$95))))</f>
      </c>
      <c r="J27" s="26">
        <f t="shared" si="15"/>
      </c>
      <c r="K27" s="26">
        <f t="shared" si="12"/>
      </c>
      <c r="L27" s="45">
        <f t="shared" si="1"/>
      </c>
      <c r="M27" s="18"/>
      <c r="N27" s="26">
        <f t="shared" si="6"/>
      </c>
      <c r="O27" s="26">
        <f t="shared" si="2"/>
      </c>
      <c r="P27" s="18"/>
      <c r="Q27" s="18"/>
      <c r="R27" s="213"/>
      <c r="S27" s="26">
        <f>IF(L27="","",SUM(N27+O27+P27)*(LOOKUP(L27+1,'uppdat-hjälpberäkn'!$A$4:$A$95,'uppdat-hjälpberäkn'!$D$4:$D$95)))</f>
      </c>
      <c r="T27" s="26">
        <f t="shared" si="3"/>
      </c>
      <c r="U27" s="15"/>
      <c r="V27" s="595">
        <f>IF(B27="","",IF(B27='uppdat-hjälpberäkn'!$N$16,D27*'uppdat-hjälpberäkn'!$N$24,D27))</f>
      </c>
      <c r="W27" s="594">
        <f>IF(B27="","",LOOKUP(B27,'uppdat-hjälpberäkn'!$F$4:$F$94,'uppdat-hjälpberäkn'!$H$4:$H$94))</f>
      </c>
      <c r="X27" s="214">
        <f t="shared" si="7"/>
        <v>0</v>
      </c>
      <c r="AC27" s="51"/>
      <c r="AD27" s="51"/>
      <c r="AE27" s="51"/>
      <c r="AF27" s="51"/>
      <c r="AG27" s="51"/>
      <c r="AH27" s="51"/>
      <c r="AI27" s="3"/>
    </row>
    <row r="28" spans="1:34" ht="12">
      <c r="A28" s="59">
        <f t="shared" si="0"/>
      </c>
      <c r="B28" s="45">
        <f t="shared" si="4"/>
      </c>
      <c r="C28" s="212">
        <f>IF(B28="","",IF(B28='uppdat-hjälpberäkn'!$N$16,'fiktiva talet'!K25*'uppdat-hjälpberäkn'!$N$24+IF(B28&gt;1998,R28/0.93,R28),'fiktiva talet'!K25+IF(B28&gt;1998,R28/0.93,R28)))</f>
      </c>
      <c r="D28" s="54"/>
      <c r="E28" s="26">
        <f t="shared" si="5"/>
      </c>
      <c r="F28" s="26">
        <f t="shared" si="8"/>
      </c>
      <c r="G28" s="26">
        <f t="shared" si="9"/>
      </c>
      <c r="H28" s="26">
        <f t="shared" si="14"/>
      </c>
      <c r="I28" s="26">
        <f>IF(B28="","",SUM((F28+G28+H28)*(LOOKUP(B28+1,'uppdat-hjälpberäkn'!$A$4:$A$95,'uppdat-hjälpberäkn'!$D$4:$D$95))))</f>
      </c>
      <c r="J28" s="26">
        <f t="shared" si="15"/>
      </c>
      <c r="K28" s="26">
        <f t="shared" si="12"/>
      </c>
      <c r="L28" s="45">
        <f t="shared" si="1"/>
      </c>
      <c r="M28" s="18"/>
      <c r="N28" s="26">
        <f t="shared" si="6"/>
      </c>
      <c r="O28" s="26">
        <f t="shared" si="2"/>
      </c>
      <c r="P28" s="18"/>
      <c r="Q28" s="18"/>
      <c r="R28" s="213"/>
      <c r="S28" s="26">
        <f>IF(L28="","",SUM(N28+O28+P28)*(LOOKUP(L28+1,'uppdat-hjälpberäkn'!$A$4:$A$95,'uppdat-hjälpberäkn'!$D$4:$D$95)))</f>
      </c>
      <c r="T28" s="26">
        <f t="shared" si="3"/>
      </c>
      <c r="U28" s="15"/>
      <c r="V28" s="595">
        <f>IF(B28="","",IF(B28='uppdat-hjälpberäkn'!$N$16,D28*'uppdat-hjälpberäkn'!$N$24,D28))</f>
      </c>
      <c r="W28" s="594">
        <f>IF(B28="","",LOOKUP(B28,'uppdat-hjälpberäkn'!$F$4:$F$94,'uppdat-hjälpberäkn'!$H$4:$H$94))</f>
      </c>
      <c r="X28" s="214">
        <f t="shared" si="7"/>
        <v>0</v>
      </c>
      <c r="AC28" s="404"/>
      <c r="AD28" s="51"/>
      <c r="AE28" s="51"/>
      <c r="AF28" s="51"/>
      <c r="AG28" s="51"/>
      <c r="AH28" s="51"/>
    </row>
    <row r="29" spans="1:34" ht="12">
      <c r="A29" s="59">
        <f t="shared" si="0"/>
      </c>
      <c r="B29" s="45">
        <f t="shared" si="4"/>
      </c>
      <c r="C29" s="212">
        <f>IF(B29="","",IF(B29='uppdat-hjälpberäkn'!$N$16,'fiktiva talet'!K26*'uppdat-hjälpberäkn'!$N$24+IF(B29&gt;1998,R29/0.93,R29),'fiktiva talet'!K26+IF(B29&gt;1998,R29/0.93,R29)))</f>
      </c>
      <c r="D29" s="54"/>
      <c r="E29" s="26">
        <f t="shared" si="5"/>
      </c>
      <c r="F29" s="26">
        <f t="shared" si="8"/>
      </c>
      <c r="G29" s="26">
        <f t="shared" si="9"/>
      </c>
      <c r="H29" s="26">
        <f t="shared" si="14"/>
      </c>
      <c r="I29" s="26">
        <f>IF(B29="","",SUM((F29+G29+H29)*(LOOKUP(B29+1,'uppdat-hjälpberäkn'!$A$4:$A$95,'uppdat-hjälpberäkn'!$D$4:$D$95))))</f>
      </c>
      <c r="J29" s="26">
        <f t="shared" si="15"/>
      </c>
      <c r="K29" s="26">
        <f t="shared" si="12"/>
      </c>
      <c r="L29" s="45">
        <f t="shared" si="1"/>
      </c>
      <c r="M29" s="18"/>
      <c r="N29" s="26">
        <f t="shared" si="6"/>
      </c>
      <c r="O29" s="26">
        <f t="shared" si="2"/>
      </c>
      <c r="P29" s="18"/>
      <c r="Q29" s="18"/>
      <c r="R29" s="213"/>
      <c r="S29" s="26">
        <f>IF(L29="","",SUM(N29+O29+P29)*(LOOKUP(L29+1,'uppdat-hjälpberäkn'!$A$4:$A$95,'uppdat-hjälpberäkn'!$D$4:$D$95)))</f>
      </c>
      <c r="T29" s="26">
        <f t="shared" si="3"/>
      </c>
      <c r="U29" s="15"/>
      <c r="V29" s="595">
        <f>IF(B29="","",IF(B29='uppdat-hjälpberäkn'!$N$16,D29*'uppdat-hjälpberäkn'!$N$24,D29))</f>
      </c>
      <c r="W29" s="594">
        <f>IF(B29="","",LOOKUP(B29,'uppdat-hjälpberäkn'!$F$4:$F$94,'uppdat-hjälpberäkn'!$H$4:$H$94))</f>
      </c>
      <c r="X29" s="214">
        <f t="shared" si="7"/>
        <v>0</v>
      </c>
      <c r="AC29" s="404"/>
      <c r="AD29" s="51"/>
      <c r="AE29" s="51"/>
      <c r="AF29" s="51"/>
      <c r="AG29" s="51"/>
      <c r="AH29" s="51"/>
    </row>
    <row r="30" spans="1:34" ht="12">
      <c r="A30" s="59">
        <f t="shared" si="0"/>
      </c>
      <c r="B30" s="45">
        <f t="shared" si="4"/>
      </c>
      <c r="C30" s="212">
        <f>IF(B30="","",IF(B30='uppdat-hjälpberäkn'!$N$16,'fiktiva talet'!K27*'uppdat-hjälpberäkn'!$N$24+IF(B30&gt;1998,R30/0.93,R30),'fiktiva talet'!K27+IF(B30&gt;1998,R30/0.93,R30)))</f>
      </c>
      <c r="D30" s="54"/>
      <c r="E30" s="26">
        <f t="shared" si="5"/>
      </c>
      <c r="F30" s="26">
        <f t="shared" si="8"/>
      </c>
      <c r="G30" s="26">
        <f t="shared" si="9"/>
      </c>
      <c r="H30" s="26">
        <f t="shared" si="14"/>
      </c>
      <c r="I30" s="26">
        <f>IF(B30="","",SUM((F30+G30+H30)*(LOOKUP(B30+1,'uppdat-hjälpberäkn'!$A$4:$A$95,'uppdat-hjälpberäkn'!$D$4:$D$95))))</f>
      </c>
      <c r="J30" s="26">
        <f t="shared" si="15"/>
      </c>
      <c r="K30" s="26">
        <f t="shared" si="12"/>
      </c>
      <c r="L30" s="45">
        <f t="shared" si="1"/>
      </c>
      <c r="M30" s="18"/>
      <c r="N30" s="26">
        <f t="shared" si="6"/>
      </c>
      <c r="O30" s="26">
        <f t="shared" si="2"/>
      </c>
      <c r="P30" s="18"/>
      <c r="Q30" s="18"/>
      <c r="R30" s="213"/>
      <c r="S30" s="26">
        <f>IF(L30="","",SUM(N30+O30+P30)*(LOOKUP(L30+1,'uppdat-hjälpberäkn'!$A$4:$A$95,'uppdat-hjälpberäkn'!$D$4:$D$95)))</f>
      </c>
      <c r="T30" s="26">
        <f t="shared" si="3"/>
      </c>
      <c r="U30" s="15"/>
      <c r="V30" s="595">
        <f>IF(B30="","",IF(B30='uppdat-hjälpberäkn'!$N$16,D30*'uppdat-hjälpberäkn'!$N$24,D30))</f>
      </c>
      <c r="W30" s="594">
        <f>IF(B30="","",LOOKUP(B30,'uppdat-hjälpberäkn'!$F$4:$F$94,'uppdat-hjälpberäkn'!$H$4:$H$94))</f>
      </c>
      <c r="X30" s="214">
        <f t="shared" si="7"/>
        <v>0</v>
      </c>
      <c r="AC30" s="404"/>
      <c r="AD30" s="51"/>
      <c r="AE30" s="51"/>
      <c r="AF30" s="51"/>
      <c r="AG30" s="51"/>
      <c r="AH30" s="51"/>
    </row>
    <row r="31" spans="1:34" ht="12">
      <c r="A31" s="59">
        <f t="shared" si="0"/>
      </c>
      <c r="B31" s="45">
        <f t="shared" si="4"/>
      </c>
      <c r="C31" s="212">
        <f>IF(B31="","",IF(B31='uppdat-hjälpberäkn'!$N$16,'fiktiva talet'!K28*'uppdat-hjälpberäkn'!$N$24+IF(B31&gt;1998,R31/0.93,R31),'fiktiva talet'!K28+IF(B31&gt;1998,R31/0.93,R31)))</f>
      </c>
      <c r="D31" s="54"/>
      <c r="E31" s="26">
        <f t="shared" si="5"/>
      </c>
      <c r="F31" s="26">
        <f t="shared" si="8"/>
      </c>
      <c r="G31" s="26">
        <f t="shared" si="9"/>
      </c>
      <c r="H31" s="26">
        <f t="shared" si="14"/>
      </c>
      <c r="I31" s="26">
        <f>IF(B31="","",SUM((F31+G31+H31)*(LOOKUP(B31+1,'uppdat-hjälpberäkn'!$A$4:$A$95,'uppdat-hjälpberäkn'!$D$4:$D$95))))</f>
      </c>
      <c r="J31" s="26">
        <f t="shared" si="15"/>
      </c>
      <c r="K31" s="26">
        <f t="shared" si="12"/>
      </c>
      <c r="L31" s="45">
        <f t="shared" si="1"/>
      </c>
      <c r="M31" s="18"/>
      <c r="N31" s="26">
        <f t="shared" si="6"/>
      </c>
      <c r="O31" s="26">
        <f t="shared" si="2"/>
      </c>
      <c r="P31" s="18"/>
      <c r="Q31" s="18"/>
      <c r="R31" s="213"/>
      <c r="S31" s="26">
        <f>IF(L31="","",SUM(N31+O31+P31)*(LOOKUP(L31+1,'uppdat-hjälpberäkn'!$A$4:$A$95,'uppdat-hjälpberäkn'!$D$4:$D$95)))</f>
      </c>
      <c r="T31" s="26">
        <f t="shared" si="3"/>
      </c>
      <c r="U31" s="15"/>
      <c r="V31" s="595">
        <f>IF(B31="","",IF(B31='uppdat-hjälpberäkn'!$N$16,D31*'uppdat-hjälpberäkn'!$N$24,D31))</f>
      </c>
      <c r="W31" s="594">
        <f>IF(B31="","",LOOKUP(B31,'uppdat-hjälpberäkn'!$F$4:$F$94,'uppdat-hjälpberäkn'!$H$4:$H$94))</f>
      </c>
      <c r="X31" s="214">
        <f t="shared" si="7"/>
        <v>0</v>
      </c>
      <c r="AC31" s="403"/>
      <c r="AD31" s="51"/>
      <c r="AE31" s="51"/>
      <c r="AF31" s="51"/>
      <c r="AG31" s="51"/>
      <c r="AH31" s="51"/>
    </row>
    <row r="32" spans="1:24" ht="12">
      <c r="A32" s="59">
        <f t="shared" si="0"/>
      </c>
      <c r="B32" s="45">
        <f t="shared" si="4"/>
      </c>
      <c r="C32" s="212">
        <f>IF(B32="","",IF(B32='uppdat-hjälpberäkn'!$N$16,'fiktiva talet'!K29*'uppdat-hjälpberäkn'!$N$24+IF(B32&gt;1998,R32/0.93,R32),'fiktiva talet'!K29+IF(B32&gt;1998,R32/0.93,R32)))</f>
      </c>
      <c r="D32" s="54"/>
      <c r="E32" s="26">
        <f t="shared" si="5"/>
      </c>
      <c r="F32" s="26">
        <f t="shared" si="8"/>
      </c>
      <c r="G32" s="26">
        <f t="shared" si="9"/>
      </c>
      <c r="H32" s="26">
        <f t="shared" si="14"/>
      </c>
      <c r="I32" s="26">
        <f>IF(B32="","",SUM((F32+G32+H32)*(LOOKUP(B32+1,'uppdat-hjälpberäkn'!$A$4:$A$95,'uppdat-hjälpberäkn'!$D$4:$D$95))))</f>
      </c>
      <c r="J32" s="26">
        <f t="shared" si="15"/>
      </c>
      <c r="K32" s="26">
        <f t="shared" si="12"/>
      </c>
      <c r="L32" s="45">
        <f t="shared" si="1"/>
      </c>
      <c r="M32" s="18"/>
      <c r="N32" s="26">
        <f t="shared" si="6"/>
      </c>
      <c r="O32" s="26">
        <f t="shared" si="2"/>
      </c>
      <c r="P32" s="18"/>
      <c r="Q32" s="18"/>
      <c r="R32" s="213"/>
      <c r="S32" s="26">
        <f>IF(L32="","",SUM(N32+O32+P32)*(LOOKUP(L32+1,'uppdat-hjälpberäkn'!$A$4:$A$95,'uppdat-hjälpberäkn'!$D$4:$D$95)))</f>
      </c>
      <c r="T32" s="26">
        <f t="shared" si="3"/>
      </c>
      <c r="U32" s="15"/>
      <c r="V32" s="595">
        <f>IF(B32="","",IF(B32='uppdat-hjälpberäkn'!$N$16,D32*'uppdat-hjälpberäkn'!$N$24,D32))</f>
      </c>
      <c r="W32" s="594">
        <f>IF(B32="","",LOOKUP(B32,'uppdat-hjälpberäkn'!$F$4:$F$94,'uppdat-hjälpberäkn'!$H$4:$H$94))</f>
      </c>
      <c r="X32" s="214">
        <f t="shared" si="7"/>
        <v>0</v>
      </c>
    </row>
    <row r="33" spans="1:24" ht="12">
      <c r="A33" s="59">
        <f t="shared" si="0"/>
      </c>
      <c r="B33" s="45">
        <f t="shared" si="4"/>
      </c>
      <c r="C33" s="212">
        <f>IF(B33="","",IF(B33='uppdat-hjälpberäkn'!$N$16,'fiktiva talet'!K30*'uppdat-hjälpberäkn'!$N$24+IF(B33&gt;1998,R33/0.93,R33),'fiktiva talet'!K30+IF(B33&gt;1998,R33/0.93,R33)))</f>
      </c>
      <c r="D33" s="54"/>
      <c r="E33" s="26">
        <f t="shared" si="5"/>
      </c>
      <c r="F33" s="26">
        <f t="shared" si="8"/>
      </c>
      <c r="G33" s="26">
        <f t="shared" si="9"/>
      </c>
      <c r="H33" s="26">
        <f t="shared" si="14"/>
      </c>
      <c r="I33" s="26">
        <f>IF(B33="","",SUM((F33+G33+H33)*(LOOKUP(B33+1,'uppdat-hjälpberäkn'!$A$4:$A$95,'uppdat-hjälpberäkn'!$D$4:$D$95))))</f>
      </c>
      <c r="J33" s="26">
        <f t="shared" si="15"/>
      </c>
      <c r="K33" s="26">
        <f t="shared" si="12"/>
      </c>
      <c r="L33" s="45">
        <f t="shared" si="1"/>
      </c>
      <c r="M33" s="18"/>
      <c r="N33" s="26">
        <f t="shared" si="6"/>
      </c>
      <c r="O33" s="26">
        <f t="shared" si="2"/>
      </c>
      <c r="P33" s="18"/>
      <c r="Q33" s="18"/>
      <c r="R33" s="213"/>
      <c r="S33" s="26">
        <f>IF(L33="","",SUM(N33+O33+P33)*(LOOKUP(L33+1,'uppdat-hjälpberäkn'!$A$4:$A$95,'uppdat-hjälpberäkn'!$D$4:$D$95)))</f>
      </c>
      <c r="T33" s="26">
        <f t="shared" si="3"/>
      </c>
      <c r="U33" s="15"/>
      <c r="V33" s="595">
        <f>IF(B33="","",IF(B33='uppdat-hjälpberäkn'!$N$16,D33*'uppdat-hjälpberäkn'!$N$24,D33))</f>
      </c>
      <c r="W33" s="594">
        <f>IF(B33="","",LOOKUP(B33,'uppdat-hjälpberäkn'!$F$4:$F$94,'uppdat-hjälpberäkn'!$H$4:$H$94))</f>
      </c>
      <c r="X33" s="214">
        <f t="shared" si="7"/>
        <v>0</v>
      </c>
    </row>
    <row r="34" spans="1:23" ht="11.25">
      <c r="A34" s="15"/>
      <c r="B34" s="15"/>
      <c r="C34" s="15"/>
      <c r="D34" s="15"/>
      <c r="E34" s="15"/>
      <c r="F34" s="15"/>
      <c r="G34" s="21" t="s">
        <v>30</v>
      </c>
      <c r="H34" s="21"/>
      <c r="I34" s="15"/>
      <c r="J34" s="15"/>
      <c r="K34" s="15"/>
      <c r="L34" s="15"/>
      <c r="M34" s="17"/>
      <c r="N34" s="27" t="s">
        <v>31</v>
      </c>
      <c r="O34" s="15"/>
      <c r="P34" s="17"/>
      <c r="Q34" s="17"/>
      <c r="R34" s="15"/>
      <c r="S34" s="15"/>
      <c r="T34" s="15"/>
      <c r="U34" s="15"/>
      <c r="V34" s="595"/>
      <c r="W34" s="3"/>
    </row>
    <row r="35" spans="1:23" ht="11.25">
      <c r="A35" s="15"/>
      <c r="B35" s="15"/>
      <c r="C35" s="15"/>
      <c r="D35" s="35"/>
      <c r="E35" s="35"/>
      <c r="F35" s="35"/>
      <c r="G35" s="56" t="s">
        <v>39</v>
      </c>
      <c r="H35" s="28"/>
      <c r="I35" s="29">
        <f>IF(B12="","",MAX(B12:B33))</f>
      </c>
      <c r="J35" s="29"/>
      <c r="K35" s="30">
        <f>IF(N5="","",LOOKUP(I35,B12:B33,K12:K33))</f>
      </c>
      <c r="L35" s="17"/>
      <c r="M35" s="17"/>
      <c r="N35" s="31"/>
      <c r="O35" s="28" t="s">
        <v>27</v>
      </c>
      <c r="P35" s="32">
        <f>IF(L12="","",MAX(L12:L33))</f>
      </c>
      <c r="Q35" s="33">
        <f>IF(N5="","",LOOKUP(P35,L12:L33,T12:T33))</f>
      </c>
      <c r="R35" s="15"/>
      <c r="S35" s="15"/>
      <c r="T35" s="15"/>
      <c r="U35" s="15"/>
      <c r="W35" s="3"/>
    </row>
    <row r="36" spans="1:21" ht="11.25">
      <c r="A36" s="15"/>
      <c r="B36" s="147" t="s">
        <v>227</v>
      </c>
      <c r="C36" s="187"/>
      <c r="D36" s="143"/>
      <c r="E36" s="148" t="s">
        <v>92</v>
      </c>
      <c r="F36" s="35"/>
      <c r="G36" s="34" t="s">
        <v>487</v>
      </c>
      <c r="H36" s="36"/>
      <c r="I36" s="65">
        <f>SUM(E46)</f>
        <v>0</v>
      </c>
      <c r="J36" s="37"/>
      <c r="K36" s="38">
        <f>IF(N5="","",SUM(K35/I36))</f>
      </c>
      <c r="L36" s="17"/>
      <c r="M36" s="17"/>
      <c r="N36" s="41" t="s">
        <v>4</v>
      </c>
      <c r="O36" s="17" t="s">
        <v>488</v>
      </c>
      <c r="P36" s="65">
        <f>SUM(E46)</f>
        <v>0</v>
      </c>
      <c r="Q36" s="38">
        <f>IF(N5="","",SUM(Q35/P36))</f>
      </c>
      <c r="R36" s="15"/>
      <c r="S36" s="15"/>
      <c r="T36" s="15"/>
      <c r="U36" s="15"/>
    </row>
    <row r="37" spans="1:25" ht="12.75">
      <c r="A37" s="15"/>
      <c r="B37" s="39" t="s">
        <v>89</v>
      </c>
      <c r="C37" s="17"/>
      <c r="D37" s="35"/>
      <c r="E37" s="144">
        <f>SUM('uppdat-hjälpberäkn'!R98)</f>
        <v>2024</v>
      </c>
      <c r="F37" s="35"/>
      <c r="G37" s="57" t="s">
        <v>195</v>
      </c>
      <c r="H37" s="36"/>
      <c r="I37" s="17"/>
      <c r="J37" s="37">
        <f>IF(B12="","",MAX(B12:B33))</f>
      </c>
      <c r="K37" s="40">
        <f>IF(N5="","",IF(LOOKUP(J37,B12:B33,X12:X33)&gt;LOOKUP(J37,B12:B33,W12:W33),LOOKUP(J37,B12:B33,W12:W33),LOOKUP(J37,B12:B33,X12:X33)))</f>
      </c>
      <c r="L37" s="17">
        <f>IF(J37="","",IF(LOOKUP(J37,B12:B33,X12:X33)&lt;LOOKUP(J37,B12:B33,W12:W33),"( ink underlag )","( ink.taket )"))</f>
      </c>
      <c r="M37" s="17"/>
      <c r="N37" s="41"/>
      <c r="O37" s="36" t="s">
        <v>26</v>
      </c>
      <c r="P37" s="37">
        <f>IF(L12="","",MAX(L12:L33))</f>
      </c>
      <c r="Q37" s="40">
        <f>IF(N5="","",LOOKUP(P37,L12:L33,M12:M33))</f>
      </c>
      <c r="R37" s="158" t="s">
        <v>354</v>
      </c>
      <c r="S37" s="217"/>
      <c r="T37" s="217"/>
      <c r="U37" s="15"/>
      <c r="W37" t="s">
        <v>220</v>
      </c>
      <c r="X37"/>
      <c r="Y37"/>
    </row>
    <row r="38" spans="1:25" ht="12.75">
      <c r="A38" s="15"/>
      <c r="B38" s="39" t="s">
        <v>90</v>
      </c>
      <c r="C38" s="17"/>
      <c r="D38" s="35"/>
      <c r="E38" s="144">
        <f>SUM('uppdat-hjälpberäkn'!Q98)</f>
        <v>2024</v>
      </c>
      <c r="F38" s="35"/>
      <c r="G38" s="34" t="s">
        <v>483</v>
      </c>
      <c r="H38" s="127"/>
      <c r="I38" s="37">
        <f>IF(N5="","",IF('uppdat-hjälpberäkn'!N22&lt;=0,0,'uppdat-hjälpberäkn'!N22))</f>
      </c>
      <c r="J38" s="37"/>
      <c r="K38" s="40">
        <f>IF(N5="","",SUM(K37*I38))</f>
      </c>
      <c r="L38" s="17"/>
      <c r="M38" s="17"/>
      <c r="N38" s="128" t="s">
        <v>483</v>
      </c>
      <c r="O38" s="127"/>
      <c r="P38" s="37">
        <f>IF(N5="","",IF('uppdat-hjälpberäkn'!N22&lt;=0,0,'uppdat-hjälpberäkn'!N22))</f>
      </c>
      <c r="Q38" s="40">
        <f>IF(N5="","",SUM(P38*Q37))</f>
      </c>
      <c r="R38" s="158" t="s">
        <v>346</v>
      </c>
      <c r="S38" s="217"/>
      <c r="T38" s="217"/>
      <c r="U38" s="15"/>
      <c r="W38" t="s">
        <v>221</v>
      </c>
      <c r="X38"/>
      <c r="Y38"/>
    </row>
    <row r="39" spans="1:25" ht="12.75">
      <c r="A39" s="15"/>
      <c r="B39" s="39" t="s">
        <v>91</v>
      </c>
      <c r="C39" s="17"/>
      <c r="D39" s="35"/>
      <c r="E39" s="144">
        <f>SUM('uppdat-hjälpberäkn'!P98)</f>
        <v>2024</v>
      </c>
      <c r="F39" s="35"/>
      <c r="G39" s="254"/>
      <c r="H39" s="17"/>
      <c r="I39" s="17"/>
      <c r="J39" s="257">
        <f>IF(K5="","",SUM('uppdat-hjälpberäkn'!N31))</f>
      </c>
      <c r="K39" s="55">
        <f>IF(K38="","",SUM(K38*J39))</f>
      </c>
      <c r="L39" s="17"/>
      <c r="M39" s="17"/>
      <c r="N39" s="39"/>
      <c r="O39" s="36"/>
      <c r="P39" s="380">
        <f>IF(N7="","",SUM('uppdat-hjälpberäkn'!N32))</f>
      </c>
      <c r="Q39" s="38">
        <f>IF(N5="","",SUM(Q38*P39))</f>
      </c>
      <c r="R39" s="105" t="s">
        <v>345</v>
      </c>
      <c r="S39" s="158"/>
      <c r="T39" s="217"/>
      <c r="U39" s="15"/>
      <c r="W39" t="s">
        <v>222</v>
      </c>
      <c r="X39"/>
      <c r="Y39" s="238">
        <f>IF(FAKTA!R3&gt;0%,FAKTA!P3,"")</f>
      </c>
    </row>
    <row r="40" spans="1:25" ht="13.5" thickBot="1">
      <c r="A40" s="15"/>
      <c r="B40" s="49" t="s">
        <v>215</v>
      </c>
      <c r="C40" s="50"/>
      <c r="D40" s="145"/>
      <c r="E40" s="146">
        <f>SUM('uppdat-hjälpberäkn'!S98)</f>
        <v>2024</v>
      </c>
      <c r="F40" s="35"/>
      <c r="G40" s="790" t="s">
        <v>258</v>
      </c>
      <c r="H40" s="791"/>
      <c r="I40" s="791"/>
      <c r="J40" s="253"/>
      <c r="K40" s="18"/>
      <c r="L40" s="17"/>
      <c r="M40" s="17"/>
      <c r="N40" s="782" t="s">
        <v>336</v>
      </c>
      <c r="O40" s="783"/>
      <c r="P40" s="784"/>
      <c r="Q40" s="387"/>
      <c r="R40" s="105">
        <v>2007</v>
      </c>
      <c r="S40" s="390"/>
      <c r="T40" s="217"/>
      <c r="U40" s="15"/>
      <c r="W40" t="s">
        <v>223</v>
      </c>
      <c r="X40"/>
      <c r="Y40" s="238">
        <f>IF(FAKTA!R4&gt;0%,FAKTA!P4,"")</f>
      </c>
    </row>
    <row r="41" spans="1:25" ht="13.5" thickBot="1">
      <c r="A41" s="15"/>
      <c r="B41" s="15"/>
      <c r="C41" s="15"/>
      <c r="D41" s="35"/>
      <c r="E41" s="17"/>
      <c r="F41" s="17"/>
      <c r="G41" s="49" t="s">
        <v>29</v>
      </c>
      <c r="H41" s="145"/>
      <c r="I41" s="256"/>
      <c r="J41" s="256"/>
      <c r="K41" s="55">
        <f>IF(N5="","",SUM(K36+K39+K40))</f>
      </c>
      <c r="L41" s="17"/>
      <c r="M41" s="17"/>
      <c r="N41" s="381" t="s">
        <v>28</v>
      </c>
      <c r="O41" s="50"/>
      <c r="P41" s="253"/>
      <c r="Q41" s="55">
        <f>IF(N5="","",SUM(Q36+Q39+Q40))</f>
      </c>
      <c r="R41" s="382">
        <f>IF(OR(N7&gt;2007,'manuell PU+LAF'!E18+'manuell PU+LAF'!F18=0),0,SUM(Blad2!X7))</f>
        <v>0</v>
      </c>
      <c r="S41" s="383">
        <f>IF(Q41="","",SUM(Q41-R41))</f>
      </c>
      <c r="T41" s="15"/>
      <c r="U41" s="15"/>
      <c r="W41" t="s">
        <v>224</v>
      </c>
      <c r="X41"/>
      <c r="Y41" s="239">
        <f>IF(FAKTA!R5&gt;0%,FAKTA!P5,"")</f>
      </c>
    </row>
    <row r="42" spans="1:25" ht="13.5" thickBot="1">
      <c r="A42" s="15"/>
      <c r="B42" s="99" t="s">
        <v>451</v>
      </c>
      <c r="C42" s="15"/>
      <c r="D42" s="35"/>
      <c r="E42" s="99" t="s">
        <v>66</v>
      </c>
      <c r="F42" s="17"/>
      <c r="G42" s="21"/>
      <c r="H42" s="20" t="s">
        <v>15</v>
      </c>
      <c r="I42" s="24" t="s">
        <v>6</v>
      </c>
      <c r="J42" s="15" t="s">
        <v>461</v>
      </c>
      <c r="K42" s="15"/>
      <c r="L42" s="15"/>
      <c r="M42" s="524" t="s">
        <v>428</v>
      </c>
      <c r="N42" s="17"/>
      <c r="O42" s="15"/>
      <c r="P42" s="24"/>
      <c r="Q42" s="183" t="s">
        <v>349</v>
      </c>
      <c r="R42" s="15"/>
      <c r="S42" s="183" t="s">
        <v>462</v>
      </c>
      <c r="T42" s="15"/>
      <c r="U42" s="15"/>
      <c r="W42" s="83" t="s">
        <v>225</v>
      </c>
      <c r="X42"/>
      <c r="Y42" s="240" t="e">
        <f>SMALL(Y39:Y41,1)</f>
        <v>#NUM!</v>
      </c>
    </row>
    <row r="43" spans="1:21" ht="11.25">
      <c r="A43" s="15"/>
      <c r="B43" s="15" t="s">
        <v>491</v>
      </c>
      <c r="C43" s="15"/>
      <c r="D43" s="35"/>
      <c r="E43" s="608">
        <f>SUM(D46)</f>
        <v>0</v>
      </c>
      <c r="F43" s="15"/>
      <c r="G43" s="15" t="s">
        <v>8</v>
      </c>
      <c r="H43" s="26">
        <f>IF(K41="","",SUM('Garantipens.fom aug 2022'!D10))</f>
      </c>
      <c r="I43" s="96">
        <f>IF(K41="","",IF('Garantipens.fom aug 2022'!D10&gt;=0,'Garantipens.fom aug 2022'!D11,'Garantipens.fom aug 2022'!D11-'ink.pens.tillägg'!E7))</f>
      </c>
      <c r="J43" s="15"/>
      <c r="K43" s="15"/>
      <c r="L43" s="36"/>
      <c r="M43" s="36"/>
      <c r="N43" s="17"/>
      <c r="O43" s="15"/>
      <c r="P43" s="15"/>
      <c r="Q43" s="15" t="s">
        <v>8</v>
      </c>
      <c r="R43" s="26">
        <f>IF(Q41="","",SUM('Garantipens.fom aug 2022'!G10))</f>
      </c>
      <c r="S43" s="96">
        <f>IF(K41="","",IF('Garantipens.fom aug 2022'!G10&gt;=0,'Garantipens.fom aug 2022'!G11,'Garantipens.fom aug 2022'!G11-'ink.pens.tillägg'!E7))</f>
      </c>
      <c r="T43" s="15"/>
      <c r="U43" s="15"/>
    </row>
    <row r="44" spans="1:23" ht="12" thickBot="1">
      <c r="A44" s="15"/>
      <c r="B44" s="792">
        <f>IF(K5="","",SUM('uppdat-hjälpberäkn'!N31))</f>
      </c>
      <c r="C44" s="793"/>
      <c r="D44" s="794">
        <f>SUM(E46)</f>
        <v>0</v>
      </c>
      <c r="E44" s="795"/>
      <c r="F44" s="17"/>
      <c r="G44" s="15" t="s">
        <v>9</v>
      </c>
      <c r="H44" s="26">
        <f>IF(K41="","",SUM('Garantipens.fom aug 2022'!D14))</f>
      </c>
      <c r="I44" s="96">
        <f>IF(S41="","",IF('Garantipens.fom aug 2022'!D14&gt;=0,'Garantipens.fom aug 2022'!D15,'Garantipens.fom aug 2022'!D15-'ink.pens.tillägg'!E11))</f>
      </c>
      <c r="J44" s="15"/>
      <c r="K44" s="15"/>
      <c r="L44" s="37" t="s">
        <v>147</v>
      </c>
      <c r="M44" s="36"/>
      <c r="N44" s="17"/>
      <c r="O44" s="15"/>
      <c r="P44" s="15"/>
      <c r="Q44" s="15" t="s">
        <v>9</v>
      </c>
      <c r="R44" s="26">
        <f>IF(Q41="","",SUM('Garantipens.fom aug 2022'!G14))</f>
      </c>
      <c r="S44" s="96">
        <f>IF(S41="","",IF('Garantipens.fom aug 2022'!G14&gt;=0,'Garantipens.fom aug 2022'!G15,'Garantipens.fom aug 2022'!G15-'ink.pens.tillägg'!E11))</f>
      </c>
      <c r="T44" s="15"/>
      <c r="U44" s="15"/>
      <c r="W44" s="2" t="s">
        <v>243</v>
      </c>
    </row>
    <row r="45" spans="1:29" ht="12" thickBot="1">
      <c r="A45" s="15"/>
      <c r="B45" s="809">
        <f>IF(K5="","",SUM('uppdat-hjälpberäkn'!N32))</f>
      </c>
      <c r="C45" s="810"/>
      <c r="D45" s="802">
        <f>SUM(E46)</f>
        <v>0</v>
      </c>
      <c r="E45" s="803"/>
      <c r="F45" s="63" t="s">
        <v>420</v>
      </c>
      <c r="G45" s="15"/>
      <c r="H45" s="15"/>
      <c r="I45" s="43">
        <f>IF(OR('ink eft 65,67, uppskjutet uttag'!F2&gt;0,'ink eft pens, uttag 65,67'!I4&gt;0),"",IF(I44&gt;=I43,0,SUM(I43-I44)))</f>
        <v>0</v>
      </c>
      <c r="J45" s="24"/>
      <c r="K45" s="804"/>
      <c r="L45" s="805"/>
      <c r="M45" s="805"/>
      <c r="N45" s="806"/>
      <c r="O45" s="63" t="s">
        <v>421</v>
      </c>
      <c r="P45" s="15"/>
      <c r="Q45" s="15"/>
      <c r="R45" s="15"/>
      <c r="S45" s="43">
        <f>IF(OR('ink eft 65,67, uppskjutet uttag'!F2&gt;0,'ink eft pens, uttag 65,67'!I4&gt;0),"",IF(S44&gt;=S43,0,SUM(S43-S44)))</f>
        <v>0</v>
      </c>
      <c r="T45" s="179"/>
      <c r="U45" s="15"/>
      <c r="W45" s="2" t="e">
        <f>LARGE(P3:P5,1)</f>
        <v>#NUM!</v>
      </c>
      <c r="AC45" s="391"/>
    </row>
    <row r="46" spans="1:29" ht="11.25">
      <c r="A46" s="15"/>
      <c r="B46" s="381" t="s">
        <v>486</v>
      </c>
      <c r="C46" s="50"/>
      <c r="D46" s="605">
        <f>IF(K5="","",SUM('uppdat-hjälpberäkn'!N1))</f>
      </c>
      <c r="E46" s="606">
        <f>IF(K5="","",LOOKUP('uppdat-hjälpberäkn'!N1,'uppdat-hjälpberäkn'!M4:M14,'uppdat-hjälpberäkn'!N4:N14))</f>
      </c>
      <c r="F46" s="607">
        <f>SUM(D46)</f>
        <v>0</v>
      </c>
      <c r="G46" s="63" t="s">
        <v>490</v>
      </c>
      <c r="H46" s="15"/>
      <c r="I46" s="17"/>
      <c r="J46" s="48"/>
      <c r="K46" s="799"/>
      <c r="L46" s="800"/>
      <c r="M46" s="800"/>
      <c r="N46" s="801"/>
      <c r="O46" s="607">
        <f>SUM(D46)</f>
        <v>0</v>
      </c>
      <c r="P46" s="63" t="s">
        <v>489</v>
      </c>
      <c r="Q46" s="15"/>
      <c r="R46" s="15"/>
      <c r="S46" s="15"/>
      <c r="T46" s="15"/>
      <c r="U46" s="15"/>
      <c r="AC46" s="391"/>
    </row>
    <row r="47" spans="1:29" ht="11.25">
      <c r="A47" s="15"/>
      <c r="B47" s="20" t="s">
        <v>259</v>
      </c>
      <c r="C47" s="811">
        <f>SUM('uppdat-hjälpberäkn'!M101)</f>
        <v>45292</v>
      </c>
      <c r="D47" s="812"/>
      <c r="E47" s="37"/>
      <c r="F47" s="15"/>
      <c r="G47" s="15"/>
      <c r="H47" s="15"/>
      <c r="I47" s="42"/>
      <c r="J47" s="15"/>
      <c r="K47" s="799"/>
      <c r="L47" s="800"/>
      <c r="M47" s="800"/>
      <c r="N47" s="801"/>
      <c r="O47" s="37"/>
      <c r="P47" s="15"/>
      <c r="Q47" s="15"/>
      <c r="R47" s="15"/>
      <c r="S47" s="42"/>
      <c r="T47" s="15"/>
      <c r="U47" s="15"/>
      <c r="AC47" s="391"/>
    </row>
    <row r="48" spans="1:29" ht="11.25">
      <c r="A48" s="15" t="s">
        <v>348</v>
      </c>
      <c r="B48" s="15"/>
      <c r="C48" s="807">
        <f ca="1">TODAY()</f>
        <v>45345</v>
      </c>
      <c r="D48" s="808"/>
      <c r="E48" s="63"/>
      <c r="F48" s="15"/>
      <c r="G48" s="15"/>
      <c r="H48" s="15"/>
      <c r="I48" s="150"/>
      <c r="J48" s="15"/>
      <c r="K48" s="796"/>
      <c r="L48" s="797"/>
      <c r="M48" s="797"/>
      <c r="N48" s="798"/>
      <c r="O48" s="63"/>
      <c r="P48" s="36"/>
      <c r="Q48" s="36"/>
      <c r="R48" s="36"/>
      <c r="S48" s="150"/>
      <c r="T48" s="36" t="s">
        <v>569</v>
      </c>
      <c r="U48" s="36"/>
      <c r="V48" s="246"/>
      <c r="AC48" s="391"/>
    </row>
    <row r="49" spans="1:22" ht="11.25">
      <c r="A49" s="3"/>
      <c r="B49" s="3"/>
      <c r="C49" s="3"/>
      <c r="D49" s="3"/>
      <c r="E49" s="3"/>
      <c r="F49" s="3"/>
      <c r="G49" s="3"/>
      <c r="H49" s="3"/>
      <c r="I49" s="3"/>
      <c r="J49" s="3"/>
      <c r="K49" s="3"/>
      <c r="L49" s="3"/>
      <c r="M49" s="3"/>
      <c r="N49" s="3"/>
      <c r="O49" s="246"/>
      <c r="P49" s="246"/>
      <c r="Q49" s="246"/>
      <c r="R49" s="246"/>
      <c r="S49" s="246"/>
      <c r="T49" s="246"/>
      <c r="U49" s="246"/>
      <c r="V49" s="246"/>
    </row>
    <row r="50" spans="1:22" ht="11.25">
      <c r="A50" s="51"/>
      <c r="B50" s="51"/>
      <c r="C50" s="51"/>
      <c r="D50" s="51"/>
      <c r="E50" s="64"/>
      <c r="F50" s="51"/>
      <c r="G50" s="51"/>
      <c r="H50" s="52"/>
      <c r="I50" s="604"/>
      <c r="J50" s="52"/>
      <c r="K50" s="51"/>
      <c r="L50" s="52"/>
      <c r="M50" s="51"/>
      <c r="N50" s="51"/>
      <c r="O50" s="51"/>
      <c r="P50" s="64"/>
      <c r="Q50" s="51"/>
      <c r="R50" s="51"/>
      <c r="S50" s="51"/>
      <c r="T50" s="62"/>
      <c r="U50" s="51"/>
      <c r="V50" s="51"/>
    </row>
    <row r="51" spans="1:21" ht="11.25">
      <c r="A51" s="3"/>
      <c r="B51" s="3"/>
      <c r="C51" s="3"/>
      <c r="D51" s="3"/>
      <c r="E51" s="61"/>
      <c r="F51" s="3"/>
      <c r="G51" s="3"/>
      <c r="H51" s="52"/>
      <c r="I51" s="62"/>
      <c r="J51" s="52"/>
      <c r="K51" s="3"/>
      <c r="L51" s="52"/>
      <c r="M51" s="51"/>
      <c r="N51" s="51"/>
      <c r="O51" s="51"/>
      <c r="P51" s="61"/>
      <c r="Q51" s="3"/>
      <c r="R51" s="3"/>
      <c r="S51" s="3"/>
      <c r="T51" s="62"/>
      <c r="U51" s="3"/>
    </row>
    <row r="52" spans="1:21" ht="11.25">
      <c r="A52" s="3"/>
      <c r="B52" s="3"/>
      <c r="C52" s="3"/>
      <c r="D52" s="3"/>
      <c r="E52" s="3"/>
      <c r="F52" s="3"/>
      <c r="G52" s="3"/>
      <c r="H52" s="3"/>
      <c r="I52" s="3"/>
      <c r="J52" s="3"/>
      <c r="K52" s="3"/>
      <c r="L52" s="3"/>
      <c r="M52" s="51"/>
      <c r="N52" s="3"/>
      <c r="O52" s="3"/>
      <c r="P52" s="3"/>
      <c r="Q52" s="3"/>
      <c r="R52" s="3"/>
      <c r="S52" s="52"/>
      <c r="T52" s="52"/>
      <c r="U52" s="3"/>
    </row>
    <row r="53" spans="1:21" ht="11.25">
      <c r="A53" s="3"/>
      <c r="Q53" s="3"/>
      <c r="R53" s="3"/>
      <c r="S53" s="52"/>
      <c r="T53" s="52"/>
      <c r="U53" s="3"/>
    </row>
    <row r="54" spans="1:21" ht="11.25">
      <c r="A54" s="3"/>
      <c r="Q54" s="3"/>
      <c r="R54" s="3"/>
      <c r="S54" s="3"/>
      <c r="T54" s="3"/>
      <c r="U54" s="3"/>
    </row>
    <row r="55" spans="1:21" ht="11.25">
      <c r="A55" s="3"/>
      <c r="Q55" s="3"/>
      <c r="R55" s="3"/>
      <c r="S55" s="3"/>
      <c r="T55" s="3"/>
      <c r="U55" s="3"/>
    </row>
    <row r="56" spans="1:21" ht="11.25">
      <c r="A56" s="3"/>
      <c r="Q56" s="3"/>
      <c r="R56" s="3"/>
      <c r="S56" s="3"/>
      <c r="T56" s="3"/>
      <c r="U56" s="3"/>
    </row>
    <row r="57" spans="1:21" ht="11.25">
      <c r="A57" s="3"/>
      <c r="Q57" s="3"/>
      <c r="R57" s="3"/>
      <c r="S57" s="3"/>
      <c r="T57" s="3"/>
      <c r="U57" s="3"/>
    </row>
    <row r="58" spans="1:21" ht="11.25">
      <c r="A58" s="3"/>
      <c r="Q58" s="3"/>
      <c r="R58" s="3"/>
      <c r="S58" s="3"/>
      <c r="T58" s="3"/>
      <c r="U58" s="3"/>
    </row>
    <row r="59" spans="1:21" ht="11.25">
      <c r="A59" s="3"/>
      <c r="Q59" s="3"/>
      <c r="R59" s="3"/>
      <c r="S59" s="3"/>
      <c r="T59" s="3"/>
      <c r="U59" s="3"/>
    </row>
    <row r="60" spans="1:21" ht="11.25">
      <c r="A60" s="3"/>
      <c r="Q60" s="3"/>
      <c r="R60" s="3"/>
      <c r="S60" s="3"/>
      <c r="T60" s="3"/>
      <c r="U60" s="3"/>
    </row>
    <row r="61" spans="1:21" ht="11.25">
      <c r="A61" s="3"/>
      <c r="Q61" s="3"/>
      <c r="R61" s="3"/>
      <c r="S61" s="3"/>
      <c r="T61" s="53"/>
      <c r="U61" s="3"/>
    </row>
    <row r="62" spans="1:21" ht="11.25">
      <c r="A62" s="3"/>
      <c r="Q62" s="3"/>
      <c r="R62" s="3"/>
      <c r="S62" s="3"/>
      <c r="T62" s="3"/>
      <c r="U62" s="3"/>
    </row>
    <row r="63" spans="1:21" ht="11.25">
      <c r="A63" s="3"/>
      <c r="Q63" s="3"/>
      <c r="R63" s="3"/>
      <c r="S63" s="3"/>
      <c r="T63" s="3"/>
      <c r="U63" s="3"/>
    </row>
  </sheetData>
  <sheetProtection password="C248" sheet="1"/>
  <mergeCells count="15">
    <mergeCell ref="K48:N48"/>
    <mergeCell ref="K46:N46"/>
    <mergeCell ref="D45:E45"/>
    <mergeCell ref="K45:N45"/>
    <mergeCell ref="C48:D48"/>
    <mergeCell ref="B45:C45"/>
    <mergeCell ref="C47:D47"/>
    <mergeCell ref="K47:N47"/>
    <mergeCell ref="N40:P40"/>
    <mergeCell ref="D3:I3"/>
    <mergeCell ref="D5:I5"/>
    <mergeCell ref="D7:I7"/>
    <mergeCell ref="G40:I40"/>
    <mergeCell ref="B44:C44"/>
    <mergeCell ref="D44:E44"/>
  </mergeCells>
  <conditionalFormatting sqref="D31:D33">
    <cfRule type="expression" priority="21" dxfId="5" stopIfTrue="1">
      <formula>B31=""</formula>
    </cfRule>
  </conditionalFormatting>
  <conditionalFormatting sqref="M31:M33">
    <cfRule type="expression" priority="22" dxfId="5" stopIfTrue="1">
      <formula>L31=""</formula>
    </cfRule>
  </conditionalFormatting>
  <conditionalFormatting sqref="P31:P33">
    <cfRule type="expression" priority="23" dxfId="5" stopIfTrue="1">
      <formula>L31=""</formula>
    </cfRule>
  </conditionalFormatting>
  <conditionalFormatting sqref="Q31:Q33">
    <cfRule type="expression" priority="24" dxfId="5" stopIfTrue="1">
      <formula>L31=""</formula>
    </cfRule>
  </conditionalFormatting>
  <conditionalFormatting sqref="R13:R33">
    <cfRule type="expression" priority="25" dxfId="5" stopIfTrue="1">
      <formula>L13=$N$7</formula>
    </cfRule>
    <cfRule type="expression" priority="26" dxfId="5" stopIfTrue="1">
      <formula>L13=""</formula>
    </cfRule>
  </conditionalFormatting>
  <conditionalFormatting sqref="T3:T5">
    <cfRule type="expression" priority="27" dxfId="6" stopIfTrue="1">
      <formula>P3&gt;=2003</formula>
    </cfRule>
  </conditionalFormatting>
  <conditionalFormatting sqref="K7">
    <cfRule type="expression" priority="31" dxfId="5" stopIfTrue="1">
      <formula>$P$3&gt;=2003</formula>
    </cfRule>
    <cfRule type="expression" priority="32" dxfId="5" stopIfTrue="1">
      <formula>$P$3=""</formula>
    </cfRule>
  </conditionalFormatting>
  <conditionalFormatting sqref="S7">
    <cfRule type="expression" priority="28" dxfId="6" stopIfTrue="1">
      <formula>$Y$42&lt;2003</formula>
    </cfRule>
  </conditionalFormatting>
  <conditionalFormatting sqref="Q7">
    <cfRule type="expression" priority="29" dxfId="5" stopIfTrue="1">
      <formula>$P$3=""</formula>
    </cfRule>
    <cfRule type="expression" priority="30" dxfId="5" stopIfTrue="1">
      <formula>$P$3&gt;2002</formula>
    </cfRule>
  </conditionalFormatting>
  <conditionalFormatting sqref="D25:D30">
    <cfRule type="expression" priority="10" dxfId="5" stopIfTrue="1">
      <formula>B25=""</formula>
    </cfRule>
  </conditionalFormatting>
  <conditionalFormatting sqref="D13:D24">
    <cfRule type="expression" priority="9" dxfId="5" stopIfTrue="1">
      <formula>B13=""</formula>
    </cfRule>
  </conditionalFormatting>
  <conditionalFormatting sqref="M25:M30">
    <cfRule type="expression" priority="8" dxfId="5" stopIfTrue="1">
      <formula>L25=""</formula>
    </cfRule>
  </conditionalFormatting>
  <conditionalFormatting sqref="M12:M24">
    <cfRule type="expression" priority="7" dxfId="5" stopIfTrue="1">
      <formula>L12=""</formula>
    </cfRule>
  </conditionalFormatting>
  <conditionalFormatting sqref="P19:P30">
    <cfRule type="expression" priority="5" dxfId="5" stopIfTrue="1">
      <formula>L19=""</formula>
    </cfRule>
  </conditionalFormatting>
  <conditionalFormatting sqref="Q19:Q30">
    <cfRule type="expression" priority="6" dxfId="5" stopIfTrue="1">
      <formula>L19=""</formula>
    </cfRule>
  </conditionalFormatting>
  <conditionalFormatting sqref="P18">
    <cfRule type="expression" priority="3" dxfId="5" stopIfTrue="1">
      <formula>L18=""</formula>
    </cfRule>
  </conditionalFormatting>
  <conditionalFormatting sqref="Q18">
    <cfRule type="expression" priority="4" dxfId="5" stopIfTrue="1">
      <formula>L18=""</formula>
    </cfRule>
  </conditionalFormatting>
  <conditionalFormatting sqref="P13:P17">
    <cfRule type="expression" priority="1" dxfId="5" stopIfTrue="1">
      <formula>L13=""</formula>
    </cfRule>
  </conditionalFormatting>
  <conditionalFormatting sqref="Q13:Q17">
    <cfRule type="expression" priority="2" dxfId="5" stopIfTrue="1">
      <formula>L13=""</formula>
    </cfRule>
  </conditionalFormatting>
  <printOptions/>
  <pageMargins left="0" right="0" top="0.1968503937007874" bottom="0" header="0.11811023622047245" footer="0.5118110236220472"/>
  <pageSetup fitToHeight="1" fitToWidth="1" horizontalDpi="300" verticalDpi="300" orientation="landscape" paperSize="9" scale="92" r:id="rId4"/>
  <drawing r:id="rId3"/>
  <legacyDrawing r:id="rId2"/>
</worksheet>
</file>

<file path=xl/worksheets/sheet10.xml><?xml version="1.0" encoding="utf-8"?>
<worksheet xmlns="http://schemas.openxmlformats.org/spreadsheetml/2006/main" xmlns:r="http://schemas.openxmlformats.org/officeDocument/2006/relationships">
  <dimension ref="A1:Z65"/>
  <sheetViews>
    <sheetView zoomScalePageLayoutView="0" workbookViewId="0" topLeftCell="A1">
      <selection activeCell="O20" sqref="O20"/>
    </sheetView>
  </sheetViews>
  <sheetFormatPr defaultColWidth="9.140625" defaultRowHeight="12.75"/>
  <cols>
    <col min="8" max="8" width="9.421875" style="0" customWidth="1"/>
    <col min="11" max="13" width="12.8515625" style="0" customWidth="1"/>
    <col min="15" max="15" width="28.57421875" style="0" bestFit="1" customWidth="1"/>
    <col min="23" max="23" width="10.57421875" style="0" bestFit="1" customWidth="1"/>
    <col min="24" max="24" width="10.140625" style="0" bestFit="1" customWidth="1"/>
  </cols>
  <sheetData>
    <row r="1" spans="1:21" ht="12.75">
      <c r="A1" s="167"/>
      <c r="B1" s="167"/>
      <c r="C1" s="167"/>
      <c r="D1" s="167"/>
      <c r="E1" s="167"/>
      <c r="F1" s="167"/>
      <c r="G1" s="167"/>
      <c r="H1" s="165"/>
      <c r="I1" s="165"/>
      <c r="J1" s="165"/>
      <c r="K1" s="165" t="s">
        <v>164</v>
      </c>
      <c r="L1" s="165" t="s">
        <v>202</v>
      </c>
      <c r="M1" s="165" t="s">
        <v>229</v>
      </c>
      <c r="O1" s="232" t="s">
        <v>216</v>
      </c>
      <c r="U1" t="s">
        <v>337</v>
      </c>
    </row>
    <row r="2" spans="1:21" ht="12.75">
      <c r="A2" s="167" t="s">
        <v>165</v>
      </c>
      <c r="B2" s="167"/>
      <c r="C2" s="191"/>
      <c r="D2" s="192"/>
      <c r="E2" s="193"/>
      <c r="F2" s="167"/>
      <c r="G2" s="167"/>
      <c r="H2" s="165"/>
      <c r="I2" s="165"/>
      <c r="J2" s="165"/>
      <c r="K2" s="165" t="s">
        <v>166</v>
      </c>
      <c r="L2" s="165" t="s">
        <v>203</v>
      </c>
      <c r="M2" s="165" t="s">
        <v>230</v>
      </c>
      <c r="U2" t="s">
        <v>338</v>
      </c>
    </row>
    <row r="3" spans="1:21" ht="12.75">
      <c r="A3" s="167"/>
      <c r="B3" s="167"/>
      <c r="C3" s="167"/>
      <c r="D3" s="167"/>
      <c r="E3" s="167"/>
      <c r="F3" s="167"/>
      <c r="G3" s="167"/>
      <c r="H3" s="165"/>
      <c r="I3" s="165"/>
      <c r="J3" s="165"/>
      <c r="K3" s="165" t="s">
        <v>167</v>
      </c>
      <c r="L3" s="165" t="s">
        <v>204</v>
      </c>
      <c r="M3" s="165" t="s">
        <v>231</v>
      </c>
      <c r="R3" t="s">
        <v>198</v>
      </c>
      <c r="U3" t="s">
        <v>339</v>
      </c>
    </row>
    <row r="4" spans="1:21" ht="12.75">
      <c r="A4" s="167"/>
      <c r="B4" s="167"/>
      <c r="C4" s="194" t="s">
        <v>92</v>
      </c>
      <c r="D4" s="194" t="s">
        <v>168</v>
      </c>
      <c r="E4" s="194" t="s">
        <v>151</v>
      </c>
      <c r="F4" s="194" t="s">
        <v>95</v>
      </c>
      <c r="G4" s="195" t="s">
        <v>170</v>
      </c>
      <c r="H4" s="165"/>
      <c r="I4" s="165"/>
      <c r="J4" s="165"/>
      <c r="K4" s="165" t="s">
        <v>171</v>
      </c>
      <c r="L4" s="165" t="s">
        <v>205</v>
      </c>
      <c r="M4" s="165" t="s">
        <v>232</v>
      </c>
      <c r="N4" s="197" t="s">
        <v>217</v>
      </c>
      <c r="O4" s="225"/>
      <c r="P4" s="198" t="s">
        <v>218</v>
      </c>
      <c r="Q4" t="s">
        <v>163</v>
      </c>
      <c r="R4" s="69" t="s">
        <v>172</v>
      </c>
      <c r="S4" t="s">
        <v>173</v>
      </c>
      <c r="U4" t="s">
        <v>340</v>
      </c>
    </row>
    <row r="5" spans="1:24" ht="12.75">
      <c r="A5" s="167"/>
      <c r="B5" s="167"/>
      <c r="C5" s="203">
        <f>IF(FAKTA!P3="","",SUM(FAKTA!P3))</f>
      </c>
      <c r="D5" s="208">
        <f>IF(FAKTA!Q3="","",SUM(FAKTA!Q3))</f>
      </c>
      <c r="E5" s="208">
        <f>IF(FAKTA!R3="","",SUM(FAKTA!R3))</f>
      </c>
      <c r="F5" s="199">
        <f>SUM(D5:E5)</f>
        <v>0</v>
      </c>
      <c r="G5" s="207">
        <f>SUM(FAKTA!T3)</f>
        <v>0</v>
      </c>
      <c r="H5" s="165"/>
      <c r="I5" s="165"/>
      <c r="J5" s="165"/>
      <c r="K5" s="165" t="s">
        <v>174</v>
      </c>
      <c r="L5" s="165" t="s">
        <v>160</v>
      </c>
      <c r="M5" s="165"/>
      <c r="N5" s="201">
        <v>1990</v>
      </c>
      <c r="O5" s="200">
        <f>LOOKUP(N5,'uppdat-hjälpberäkn'!$F$4:$F$94,'uppdat-hjälpberäkn'!$I$4:$I$94)</f>
        <v>29700</v>
      </c>
      <c r="P5" s="202"/>
      <c r="Q5" t="e">
        <f aca="true" t="shared" si="0" ref="Q5:Q65">LOOKUP(N5,$C$5:$C$7,$G$5:$G$7)</f>
        <v>#N/A</v>
      </c>
      <c r="R5">
        <f>IF(ISERROR(Q5),"",Q5)</f>
      </c>
      <c r="S5" s="189">
        <f aca="true" t="shared" si="1" ref="S5:S20">IF(R5=0,"",IF(OR(R5="",P5=""),"",IF(R5=R4,S4*P5,R5)))</f>
      </c>
      <c r="T5" s="407"/>
      <c r="U5" s="407" t="s">
        <v>341</v>
      </c>
      <c r="V5" s="407">
        <v>500</v>
      </c>
      <c r="W5" s="165"/>
      <c r="X5" s="165">
        <v>500</v>
      </c>
    </row>
    <row r="6" spans="1:24" ht="13.5" thickBot="1">
      <c r="A6" s="167"/>
      <c r="B6" s="167"/>
      <c r="C6" s="203">
        <f>IF(FAKTA!P4="","",SUM(FAKTA!P4))</f>
      </c>
      <c r="D6" s="208">
        <f>IF(FAKTA!Q4="","",SUM(FAKTA!Q4))</f>
      </c>
      <c r="E6" s="208">
        <f>IF(FAKTA!R4="","",SUM(FAKTA!R4))</f>
      </c>
      <c r="F6" s="199">
        <f>SUM(D6:E6)</f>
        <v>0</v>
      </c>
      <c r="G6" s="207">
        <f>SUM(FAKTA!T4)</f>
        <v>0</v>
      </c>
      <c r="H6" s="165"/>
      <c r="I6" s="165"/>
      <c r="J6" s="165"/>
      <c r="K6" s="165" t="s">
        <v>111</v>
      </c>
      <c r="L6" s="165" t="s">
        <v>206</v>
      </c>
      <c r="M6" s="165" t="s">
        <v>231</v>
      </c>
      <c r="N6" s="201">
        <v>1991</v>
      </c>
      <c r="O6" s="200">
        <f>LOOKUP(N6,'uppdat-hjälpberäkn'!$F$4:$F$94,'uppdat-hjälpberäkn'!$I$4:$I$94)</f>
        <v>32200</v>
      </c>
      <c r="P6" s="226">
        <f>IF(O6="","",SUM(O6/O5))</f>
        <v>1.0841750841750841</v>
      </c>
      <c r="Q6" t="e">
        <f t="shared" si="0"/>
        <v>#N/A</v>
      </c>
      <c r="R6">
        <f aca="true" t="shared" si="2" ref="R6:R65">IF(ISERROR(Q6),"",Q6)</f>
      </c>
      <c r="S6" s="189">
        <f t="shared" si="1"/>
      </c>
      <c r="T6" s="408" t="s">
        <v>92</v>
      </c>
      <c r="U6" s="409">
        <f>IF(FAKTA!P3="",0,LARGE(FAKTA!P3:P5,1))</f>
        <v>0</v>
      </c>
      <c r="V6" s="410">
        <f>IF(OR(U6&gt;2007,FAKTA!P3=""),0,LOOKUP(U6,FAKTA!P3:P5,FAKTA!Q3:Q5))</f>
        <v>0</v>
      </c>
      <c r="W6" s="412">
        <f>IF(U16="","",LARGE(U16:U38,1))</f>
      </c>
      <c r="X6" s="166">
        <f>IF(U16="","",IF(OR(W6&gt;2007,W6=""),0,LOOKUP(W6,U16:U38,V16:V38)))</f>
      </c>
    </row>
    <row r="7" spans="1:24" ht="13.5" thickBot="1">
      <c r="A7" s="167"/>
      <c r="B7" s="167"/>
      <c r="C7" s="203">
        <f>IF(FAKTA!P5="","",SUM(FAKTA!P5))</f>
      </c>
      <c r="D7" s="208">
        <f>IF(FAKTA!Q5="","",SUM(FAKTA!Q5))</f>
      </c>
      <c r="E7" s="208">
        <f>IF(FAKTA!R5="","",SUM(FAKTA!R5))</f>
      </c>
      <c r="F7" s="199">
        <f>SUM(D7:E7)</f>
        <v>0</v>
      </c>
      <c r="G7" s="204">
        <f>SUM(FAKTA!T5)</f>
        <v>0</v>
      </c>
      <c r="H7" s="165"/>
      <c r="I7" s="165"/>
      <c r="J7" s="165"/>
      <c r="K7" s="165"/>
      <c r="L7" s="165" t="s">
        <v>207</v>
      </c>
      <c r="M7" s="248">
        <f>SUM(FAKTA!K7)</f>
        <v>0</v>
      </c>
      <c r="N7" s="201">
        <v>1992</v>
      </c>
      <c r="O7" s="200">
        <f>LOOKUP(N7,'uppdat-hjälpberäkn'!$F$4:$F$94,'uppdat-hjälpberäkn'!$I$4:$I$94)</f>
        <v>33700</v>
      </c>
      <c r="P7" s="226">
        <f aca="true" t="shared" si="3" ref="P7:P65">IF(O7="","",SUM(O7/O6))</f>
        <v>1.046583850931677</v>
      </c>
      <c r="Q7" t="e">
        <f t="shared" si="0"/>
        <v>#N/A</v>
      </c>
      <c r="R7">
        <f t="shared" si="2"/>
      </c>
      <c r="S7" s="189">
        <f t="shared" si="1"/>
      </c>
      <c r="T7" s="276" t="s">
        <v>342</v>
      </c>
      <c r="U7" s="276"/>
      <c r="V7" s="411">
        <f>SUM(V5*V8)</f>
        <v>0</v>
      </c>
      <c r="W7" s="165" t="s">
        <v>366</v>
      </c>
      <c r="X7" s="413">
        <f>IF(X11&gt;2007,0,SUM(X5*X8))</f>
        <v>0</v>
      </c>
    </row>
    <row r="8" spans="1:24" ht="12.75">
      <c r="A8" s="167"/>
      <c r="B8" s="167"/>
      <c r="C8" s="167"/>
      <c r="D8" s="167"/>
      <c r="E8" s="167"/>
      <c r="F8" s="167"/>
      <c r="G8" s="167"/>
      <c r="H8" s="165"/>
      <c r="I8" s="165"/>
      <c r="J8" s="165" t="s">
        <v>110</v>
      </c>
      <c r="K8" s="165"/>
      <c r="L8" s="165" t="s">
        <v>208</v>
      </c>
      <c r="M8" s="165" t="s">
        <v>233</v>
      </c>
      <c r="N8" s="201">
        <v>1993</v>
      </c>
      <c r="O8" s="200">
        <f>LOOKUP(N8,'uppdat-hjälpberäkn'!$F$4:$F$94,'uppdat-hjälpberäkn'!$I$4:$I$94)</f>
        <v>34400</v>
      </c>
      <c r="P8" s="226">
        <f t="shared" si="3"/>
        <v>1.0207715133531157</v>
      </c>
      <c r="Q8" t="e">
        <f t="shared" si="0"/>
        <v>#N/A</v>
      </c>
      <c r="R8">
        <f t="shared" si="2"/>
      </c>
      <c r="S8" s="189">
        <f t="shared" si="1"/>
      </c>
      <c r="T8" s="276"/>
      <c r="U8" s="276" t="s">
        <v>344</v>
      </c>
      <c r="V8" s="410">
        <f>IF(A16="",0,IF(LOOKUP(2007,A16:A34,E16:E34)="",0,LOOKUP(2007,A16:A34,E16:E34)))</f>
        <v>0</v>
      </c>
      <c r="W8" s="165" t="s">
        <v>361</v>
      </c>
      <c r="X8" s="166">
        <f>IF(OR(U16&gt;2008,U16=""),0,IF(LOOKUP(2007,U16:U34,V16:V34)="",0,LOOKUP(2007,U16:U34,V16:V34)))</f>
        <v>0</v>
      </c>
    </row>
    <row r="9" spans="1:24" ht="12.75">
      <c r="A9" s="167" t="s">
        <v>175</v>
      </c>
      <c r="B9" s="167"/>
      <c r="C9" s="167"/>
      <c r="D9" s="210">
        <f>SUM(FAKTA!K3)</f>
        <v>0</v>
      </c>
      <c r="E9" s="167"/>
      <c r="F9" s="167"/>
      <c r="G9" s="167"/>
      <c r="H9" s="165"/>
      <c r="I9" s="165"/>
      <c r="J9" s="165" t="s">
        <v>111</v>
      </c>
      <c r="K9" s="165" t="s">
        <v>176</v>
      </c>
      <c r="L9" s="165" t="s">
        <v>209</v>
      </c>
      <c r="M9" s="165" t="s">
        <v>234</v>
      </c>
      <c r="N9" s="201">
        <v>1994</v>
      </c>
      <c r="O9" s="200">
        <f>LOOKUP(N9,'uppdat-hjälpberäkn'!$F$4:$F$94,'uppdat-hjälpberäkn'!$I$4:$I$94)</f>
        <v>35200</v>
      </c>
      <c r="P9" s="226">
        <f t="shared" si="3"/>
        <v>1.0232558139534884</v>
      </c>
      <c r="Q9" t="e">
        <f t="shared" si="0"/>
        <v>#N/A</v>
      </c>
      <c r="R9">
        <f t="shared" si="2"/>
      </c>
      <c r="S9" s="189">
        <f t="shared" si="1"/>
      </c>
      <c r="T9" s="276"/>
      <c r="U9" s="276"/>
      <c r="V9" s="407"/>
      <c r="W9" s="165"/>
      <c r="X9" s="165"/>
    </row>
    <row r="10" spans="1:23" ht="12.75">
      <c r="A10" s="167"/>
      <c r="B10" s="167"/>
      <c r="C10" s="167"/>
      <c r="D10" s="167"/>
      <c r="E10" s="167"/>
      <c r="F10" s="167"/>
      <c r="G10" s="167"/>
      <c r="H10" s="165"/>
      <c r="I10" s="165"/>
      <c r="J10" s="165"/>
      <c r="K10" s="165" t="s">
        <v>177</v>
      </c>
      <c r="L10" s="165"/>
      <c r="M10" s="165" t="s">
        <v>235</v>
      </c>
      <c r="N10" s="201">
        <v>1995</v>
      </c>
      <c r="O10" s="200">
        <f>LOOKUP(N10,'uppdat-hjälpberäkn'!$F$4:$F$94,'uppdat-hjälpberäkn'!$I$4:$I$94)</f>
        <v>35700</v>
      </c>
      <c r="P10" s="226">
        <f t="shared" si="3"/>
        <v>1.0142045454545454</v>
      </c>
      <c r="Q10" t="e">
        <f t="shared" si="0"/>
        <v>#N/A</v>
      </c>
      <c r="R10">
        <f t="shared" si="2"/>
      </c>
      <c r="S10" s="189">
        <f t="shared" si="1"/>
      </c>
      <c r="U10" t="s">
        <v>363</v>
      </c>
      <c r="W10" t="s">
        <v>364</v>
      </c>
    </row>
    <row r="11" spans="1:24" ht="12.75">
      <c r="A11" s="167" t="s">
        <v>123</v>
      </c>
      <c r="B11" s="167"/>
      <c r="C11" s="167"/>
      <c r="D11" s="210">
        <f>SUM(FAKTA!N7)</f>
        <v>0</v>
      </c>
      <c r="E11" s="167"/>
      <c r="F11" s="167" t="s">
        <v>179</v>
      </c>
      <c r="G11" s="167"/>
      <c r="H11" s="165"/>
      <c r="I11" s="165"/>
      <c r="J11" s="165"/>
      <c r="K11" s="165" t="s">
        <v>178</v>
      </c>
      <c r="L11" s="165"/>
      <c r="M11" s="165" t="s">
        <v>236</v>
      </c>
      <c r="N11" s="201">
        <v>1996</v>
      </c>
      <c r="O11" s="200">
        <f>LOOKUP(N11,'uppdat-hjälpberäkn'!$F$4:$F$94,'uppdat-hjälpberäkn'!$I$4:$I$94)</f>
        <v>36200</v>
      </c>
      <c r="P11" s="226">
        <f t="shared" si="3"/>
        <v>1.0140056022408963</v>
      </c>
      <c r="Q11" t="e">
        <f t="shared" si="0"/>
        <v>#N/A</v>
      </c>
      <c r="R11">
        <f t="shared" si="2"/>
      </c>
      <c r="S11" s="189">
        <f t="shared" si="1"/>
      </c>
      <c r="W11" t="s">
        <v>365</v>
      </c>
      <c r="X11">
        <f>SUM(FAKTA!N7)</f>
        <v>0</v>
      </c>
    </row>
    <row r="12" spans="1:19" ht="12.75">
      <c r="A12" s="167"/>
      <c r="B12" s="167"/>
      <c r="C12" s="167"/>
      <c r="D12" s="74"/>
      <c r="E12" s="167"/>
      <c r="F12" s="167"/>
      <c r="G12" s="167"/>
      <c r="H12" s="165"/>
      <c r="I12" s="165"/>
      <c r="J12" s="165"/>
      <c r="K12" s="165"/>
      <c r="L12" s="165"/>
      <c r="M12" s="165" t="s">
        <v>237</v>
      </c>
      <c r="N12" s="201">
        <v>1997</v>
      </c>
      <c r="O12" s="200">
        <f>LOOKUP(N12,'uppdat-hjälpberäkn'!$F$4:$F$94,'uppdat-hjälpberäkn'!$I$4:$I$94)</f>
        <v>36300</v>
      </c>
      <c r="P12" s="226">
        <f t="shared" si="3"/>
        <v>1.0027624309392265</v>
      </c>
      <c r="Q12" t="e">
        <f t="shared" si="0"/>
        <v>#N/A</v>
      </c>
      <c r="R12">
        <f t="shared" si="2"/>
      </c>
      <c r="S12" s="189">
        <f t="shared" si="1"/>
      </c>
    </row>
    <row r="13" spans="1:19" ht="12.75">
      <c r="A13" s="167" t="s">
        <v>96</v>
      </c>
      <c r="B13" s="167"/>
      <c r="C13" s="167"/>
      <c r="D13" s="211">
        <f>SUM(FAKTA!Q7)</f>
        <v>0</v>
      </c>
      <c r="E13" s="167"/>
      <c r="F13" s="210">
        <f>SUM(FAKTA!S7)</f>
        <v>0</v>
      </c>
      <c r="G13" s="167"/>
      <c r="H13" s="228" t="s">
        <v>125</v>
      </c>
      <c r="I13" s="165" t="s">
        <v>198</v>
      </c>
      <c r="J13" s="165"/>
      <c r="K13" s="165"/>
      <c r="L13" s="165"/>
      <c r="M13" s="165" t="s">
        <v>238</v>
      </c>
      <c r="N13" s="201">
        <v>1998</v>
      </c>
      <c r="O13" s="200">
        <f>LOOKUP(N13,'uppdat-hjälpberäkn'!$F$4:$F$94,'uppdat-hjälpberäkn'!$I$4:$I$94)</f>
        <v>36400</v>
      </c>
      <c r="P13" s="226">
        <f t="shared" si="3"/>
        <v>1.002754820936639</v>
      </c>
      <c r="Q13" t="e">
        <f t="shared" si="0"/>
        <v>#N/A</v>
      </c>
      <c r="R13">
        <f t="shared" si="2"/>
      </c>
      <c r="S13" s="189">
        <f t="shared" si="1"/>
      </c>
    </row>
    <row r="14" spans="1:26" ht="12.75">
      <c r="A14" s="167"/>
      <c r="B14" s="194" t="s">
        <v>182</v>
      </c>
      <c r="C14" s="167"/>
      <c r="D14" s="167"/>
      <c r="E14" s="194" t="s">
        <v>125</v>
      </c>
      <c r="F14" s="167"/>
      <c r="G14" s="167"/>
      <c r="H14" s="228" t="s">
        <v>151</v>
      </c>
      <c r="I14" s="165" t="s">
        <v>199</v>
      </c>
      <c r="J14" s="165"/>
      <c r="K14" s="165"/>
      <c r="L14" s="165"/>
      <c r="M14" s="165"/>
      <c r="N14" s="201">
        <v>1999</v>
      </c>
      <c r="O14" s="200">
        <f>LOOKUP(N14,'uppdat-hjälpberäkn'!$F$4:$F$94,'uppdat-hjälpberäkn'!$I$4:$I$94)</f>
        <v>36400</v>
      </c>
      <c r="P14" s="226">
        <f t="shared" si="3"/>
        <v>1</v>
      </c>
      <c r="Q14" t="e">
        <f t="shared" si="0"/>
        <v>#N/A</v>
      </c>
      <c r="R14">
        <f t="shared" si="2"/>
      </c>
      <c r="S14" s="189">
        <f t="shared" si="1"/>
      </c>
      <c r="T14" s="189"/>
      <c r="U14" s="167"/>
      <c r="V14" s="194" t="s">
        <v>125</v>
      </c>
      <c r="W14" s="172"/>
      <c r="X14" s="172"/>
      <c r="Z14" s="172"/>
    </row>
    <row r="15" spans="1:26" ht="12.75">
      <c r="A15" s="194" t="s">
        <v>92</v>
      </c>
      <c r="B15" s="194" t="s">
        <v>169</v>
      </c>
      <c r="C15" s="196" t="s">
        <v>103</v>
      </c>
      <c r="D15" s="196" t="s">
        <v>180</v>
      </c>
      <c r="E15" s="167" t="s">
        <v>343</v>
      </c>
      <c r="F15" s="167"/>
      <c r="G15" s="196"/>
      <c r="H15" s="228" t="s">
        <v>152</v>
      </c>
      <c r="I15" s="229"/>
      <c r="J15" s="165" t="s">
        <v>181</v>
      </c>
      <c r="K15" s="165"/>
      <c r="L15" s="165"/>
      <c r="M15" s="165"/>
      <c r="N15" s="201">
        <v>2000</v>
      </c>
      <c r="O15" s="200">
        <f>LOOKUP(N15,'uppdat-hjälpberäkn'!$F$4:$F$94,'uppdat-hjälpberäkn'!$I$4:$I$94)</f>
        <v>36600</v>
      </c>
      <c r="P15" s="226">
        <f t="shared" si="3"/>
        <v>1.0054945054945055</v>
      </c>
      <c r="Q15" t="e">
        <f t="shared" si="0"/>
        <v>#N/A</v>
      </c>
      <c r="R15">
        <f t="shared" si="2"/>
      </c>
      <c r="S15" s="189">
        <f t="shared" si="1"/>
      </c>
      <c r="T15" s="189"/>
      <c r="U15" s="194" t="s">
        <v>92</v>
      </c>
      <c r="V15" s="167" t="s">
        <v>343</v>
      </c>
      <c r="W15" s="415"/>
      <c r="X15" s="415"/>
      <c r="Z15" s="172"/>
    </row>
    <row r="16" spans="1:26" ht="12.75">
      <c r="A16" s="203">
        <f>IF(D9&lt;2003,D9,"")</f>
        <v>0</v>
      </c>
      <c r="B16" s="208">
        <f>SUM(I16)</f>
        <v>0</v>
      </c>
      <c r="C16" s="199">
        <f>IF(A16&lt;C5,"",LOOKUP(A16,$C$5:$C$7,$F$5:$F$7))</f>
      </c>
      <c r="D16" s="204" t="e">
        <f>IF(A16="","",LOOKUP(A16,$N$5:$N$34,$S$5:$S$34))</f>
        <v>#N/A</v>
      </c>
      <c r="E16" s="384">
        <f>IF(C16="","",SUM(C16-B16))</f>
      </c>
      <c r="F16" s="167"/>
      <c r="G16" s="190"/>
      <c r="H16" s="230" t="e">
        <f>IF(A16="","",LOOKUP(A16,$C$5:$C$7,$E$5:$E$7))</f>
        <v>#N/A</v>
      </c>
      <c r="I16" s="231">
        <f>IF(ISERROR(H16),"",H16)</f>
      </c>
      <c r="J16" s="165" t="str">
        <f>IF(A16="","",IF(A16&lt;2003,"A","B"))</f>
        <v>A</v>
      </c>
      <c r="K16" s="164" t="str">
        <f aca="true" t="shared" si="4" ref="K16:K38">IF(J16="B","B",IF(J16="","",IF(AND(J16="A",A16&gt;=2003),"C","A")))</f>
        <v>A</v>
      </c>
      <c r="L16" s="205" t="e">
        <f>IF(K16="",0,IF(K16="A",($F$13+1)*B16/0.93*LOOKUP(A16,'uppdat-hjälpberäkn'!$F$4:$F$94,'uppdat-hjälpberäkn'!$J$4:$J$94),IF(K16="C",($D$13+1)*B16*LOOKUP(A16,'uppdat-hjälpberäkn'!$F$4:$F$94,'uppdat-hjälpberäkn'!$I$4:$I$94),D16/IF(A16&gt;2015,0.647,0.64)*B16)))</f>
        <v>#N/A</v>
      </c>
      <c r="M16" s="249" t="e">
        <f>IF($M$7=0,L16,IF(OR(K16="A",K16="C"),L16*$M$7/30,L16))</f>
        <v>#N/A</v>
      </c>
      <c r="N16" s="201">
        <v>2001</v>
      </c>
      <c r="O16" s="200">
        <f>LOOKUP(N16,'uppdat-hjälpberäkn'!$F$4:$F$94,'uppdat-hjälpberäkn'!$I$4:$I$94)</f>
        <v>36900</v>
      </c>
      <c r="P16" s="226">
        <f t="shared" si="3"/>
        <v>1.0081967213114753</v>
      </c>
      <c r="Q16" t="e">
        <f t="shared" si="0"/>
        <v>#N/A</v>
      </c>
      <c r="R16">
        <f t="shared" si="2"/>
      </c>
      <c r="S16" s="189">
        <f t="shared" si="1"/>
      </c>
      <c r="T16" s="189"/>
      <c r="U16" s="203">
        <f>IF(C5="","",C5)</f>
      </c>
      <c r="V16" s="414">
        <f>IF(U16="","",LOOKUP(U16,$C$5:$C$7,$D$5:$D$7))</f>
      </c>
      <c r="W16" s="416"/>
      <c r="X16" s="417"/>
      <c r="Z16" s="172"/>
    </row>
    <row r="17" spans="1:26" ht="12.75">
      <c r="A17" s="203">
        <f>IF(A16="","",IF(A16+1&gt;$D$11,"",A16+1))</f>
      </c>
      <c r="B17" s="208">
        <f aca="true" t="shared" si="5" ref="B17:B38">SUM(I17)</f>
        <v>0</v>
      </c>
      <c r="C17" s="199">
        <f aca="true" t="shared" si="6" ref="C17:C38">IF(A17="","",IF(A17&lt;$C$5,"",LOOKUP(A17,$C$5:$C$7,$F$5:$F$7)))</f>
      </c>
      <c r="D17" s="204">
        <f aca="true" t="shared" si="7" ref="D17:D38">IF(A17="","",LOOKUP(A17,$N$5:$N$34,$S$5:$S$34))</f>
      </c>
      <c r="E17" s="384">
        <f aca="true" t="shared" si="8" ref="E17:E38">IF(C17="","",SUM(C17-B17))</f>
      </c>
      <c r="F17" s="167"/>
      <c r="G17" s="190"/>
      <c r="H17" s="230">
        <f aca="true" t="shared" si="9" ref="H17:H38">IF(A17="","",LOOKUP(A17,$C$5:$C$7,$E$5:$E$7))</f>
      </c>
      <c r="I17" s="231">
        <f aca="true" t="shared" si="10" ref="I17:I38">IF(ISERROR(H17),"",H17)</f>
      </c>
      <c r="J17" s="165">
        <f aca="true" t="shared" si="11" ref="J17:J38">IF(C17="","",IF(J16="B","B",IF(OR(C17=C16,A17&lt;2003),$J$8,$J$9)))</f>
      </c>
      <c r="K17" s="164">
        <f t="shared" si="4"/>
      </c>
      <c r="L17" s="205">
        <f>IF(K17="",0,IF(K17="A",($F$13+1)*B17/0.93*LOOKUP(A17,'uppdat-hjälpberäkn'!$F$4:$F$94,'uppdat-hjälpberäkn'!$J$4:$J$94),IF(K17="C",($D$13+1)*B17*LOOKUP(A17,'uppdat-hjälpberäkn'!$F$4:$F$94,'uppdat-hjälpberäkn'!$I$4:$I$94),D17/IF(A17&gt;2015,0.647,0.64)*B17)))</f>
        <v>0</v>
      </c>
      <c r="M17" s="249">
        <f aca="true" t="shared" si="12" ref="M17:M38">IF($M$7=0,L17,IF(OR(K17="A",K17="C"),L17*$M$7/30,L17))</f>
        <v>0</v>
      </c>
      <c r="N17" s="201">
        <v>2002</v>
      </c>
      <c r="O17" s="200">
        <f>LOOKUP(N17,'uppdat-hjälpberäkn'!$F$4:$F$94,'uppdat-hjälpberäkn'!$I$4:$I$94)</f>
        <v>37900</v>
      </c>
      <c r="P17" s="226">
        <f t="shared" si="3"/>
        <v>1.02710027100271</v>
      </c>
      <c r="Q17" t="e">
        <f t="shared" si="0"/>
        <v>#N/A</v>
      </c>
      <c r="R17">
        <f t="shared" si="2"/>
      </c>
      <c r="S17" s="189">
        <f t="shared" si="1"/>
      </c>
      <c r="T17" s="189"/>
      <c r="U17" s="203">
        <f>IF(U16="","",IF(U16+1&gt;$D$11,"",U16+1))</f>
      </c>
      <c r="V17" s="414">
        <f aca="true" t="shared" si="13" ref="V17:V38">IF(U17="","",LOOKUP(U17,$C$5:$C$7,$D$5:$D$7))</f>
      </c>
      <c r="W17" s="416"/>
      <c r="X17" s="417"/>
      <c r="Z17" s="172"/>
    </row>
    <row r="18" spans="1:26" ht="12.75">
      <c r="A18" s="203">
        <f aca="true" t="shared" si="14" ref="A18:A38">IF(A17="","",IF(A17+1&gt;$D$11,"",A17+1))</f>
      </c>
      <c r="B18" s="208">
        <f t="shared" si="5"/>
        <v>0</v>
      </c>
      <c r="C18" s="199">
        <f t="shared" si="6"/>
      </c>
      <c r="D18" s="204">
        <f t="shared" si="7"/>
      </c>
      <c r="E18" s="384">
        <f t="shared" si="8"/>
      </c>
      <c r="F18" s="167"/>
      <c r="G18" s="190"/>
      <c r="H18" s="230">
        <f t="shared" si="9"/>
      </c>
      <c r="I18" s="231">
        <f t="shared" si="10"/>
      </c>
      <c r="J18" s="165">
        <f t="shared" si="11"/>
      </c>
      <c r="K18" s="164">
        <f t="shared" si="4"/>
      </c>
      <c r="L18" s="205">
        <f>IF(K18="",0,IF(K18="A",($F$13+1)*B18/0.93*LOOKUP(A18,'uppdat-hjälpberäkn'!$F$4:$F$94,'uppdat-hjälpberäkn'!$J$4:$J$94),IF(K18="C",($D$13+1)*B18*LOOKUP(A18,'uppdat-hjälpberäkn'!$F$4:$F$94,'uppdat-hjälpberäkn'!$I$4:$I$94),D18/IF(A18&gt;2015,0.647,0.64)*B18)))</f>
        <v>0</v>
      </c>
      <c r="M18" s="249">
        <f t="shared" si="12"/>
        <v>0</v>
      </c>
      <c r="N18" s="201">
        <v>2003</v>
      </c>
      <c r="O18" s="200">
        <f>LOOKUP(N18,'uppdat-hjälpberäkn'!$F$4:$F$94,'uppdat-hjälpberäkn'!$I$4:$I$94)</f>
        <v>38600</v>
      </c>
      <c r="P18" s="226">
        <f t="shared" si="3"/>
        <v>1.0184696569920844</v>
      </c>
      <c r="Q18" t="e">
        <f t="shared" si="0"/>
        <v>#N/A</v>
      </c>
      <c r="R18">
        <f t="shared" si="2"/>
      </c>
      <c r="S18" s="189">
        <f t="shared" si="1"/>
      </c>
      <c r="T18" s="189"/>
      <c r="U18" s="203">
        <f aca="true" t="shared" si="15" ref="U18:U38">IF(U17="","",IF(U17+1&gt;$D$11,"",U17+1))</f>
      </c>
      <c r="V18" s="414">
        <f t="shared" si="13"/>
      </c>
      <c r="W18" s="416"/>
      <c r="X18" s="417"/>
      <c r="Z18" s="172"/>
    </row>
    <row r="19" spans="1:26" ht="12.75">
      <c r="A19" s="203">
        <f t="shared" si="14"/>
      </c>
      <c r="B19" s="208">
        <f t="shared" si="5"/>
        <v>0</v>
      </c>
      <c r="C19" s="199">
        <f t="shared" si="6"/>
      </c>
      <c r="D19" s="204">
        <f t="shared" si="7"/>
      </c>
      <c r="E19" s="384">
        <f t="shared" si="8"/>
      </c>
      <c r="F19" s="167"/>
      <c r="G19" s="190"/>
      <c r="H19" s="230">
        <f t="shared" si="9"/>
      </c>
      <c r="I19" s="231">
        <f t="shared" si="10"/>
      </c>
      <c r="J19" s="165">
        <f t="shared" si="11"/>
      </c>
      <c r="K19" s="164">
        <f t="shared" si="4"/>
      </c>
      <c r="L19" s="205">
        <f>IF(K19="",0,IF(K19="A",($F$13+1)*B19/0.93*LOOKUP(A19,'uppdat-hjälpberäkn'!$F$4:$F$94,'uppdat-hjälpberäkn'!$J$4:$J$94),IF(K19="C",($D$13+1)*B19*LOOKUP(A19,'uppdat-hjälpberäkn'!$F$4:$F$94,'uppdat-hjälpberäkn'!$I$4:$I$94),D19/IF(A19&gt;2015,0.647,0.64)*B19)))</f>
        <v>0</v>
      </c>
      <c r="M19" s="249">
        <f t="shared" si="12"/>
        <v>0</v>
      </c>
      <c r="N19" s="201">
        <v>2004</v>
      </c>
      <c r="O19" s="200">
        <f>LOOKUP(N19,'uppdat-hjälpberäkn'!$F$4:$F$94,'uppdat-hjälpberäkn'!$I$4:$I$94)</f>
        <v>39300</v>
      </c>
      <c r="P19" s="226">
        <f t="shared" si="3"/>
        <v>1.0181347150259068</v>
      </c>
      <c r="Q19" t="e">
        <f t="shared" si="0"/>
        <v>#N/A</v>
      </c>
      <c r="R19">
        <f t="shared" si="2"/>
      </c>
      <c r="S19" s="189">
        <f t="shared" si="1"/>
      </c>
      <c r="T19" s="189"/>
      <c r="U19" s="203">
        <f t="shared" si="15"/>
      </c>
      <c r="V19" s="414">
        <f t="shared" si="13"/>
      </c>
      <c r="W19" s="416"/>
      <c r="X19" s="417"/>
      <c r="Z19" s="172"/>
    </row>
    <row r="20" spans="1:26" ht="12.75">
      <c r="A20" s="203">
        <f t="shared" si="14"/>
      </c>
      <c r="B20" s="208">
        <f t="shared" si="5"/>
        <v>0</v>
      </c>
      <c r="C20" s="199">
        <f t="shared" si="6"/>
      </c>
      <c r="D20" s="204">
        <f t="shared" si="7"/>
      </c>
      <c r="E20" s="384">
        <f t="shared" si="8"/>
      </c>
      <c r="F20" s="167"/>
      <c r="G20" s="190"/>
      <c r="H20" s="230">
        <f t="shared" si="9"/>
      </c>
      <c r="I20" s="231">
        <f t="shared" si="10"/>
      </c>
      <c r="J20" s="165">
        <f t="shared" si="11"/>
      </c>
      <c r="K20" s="164">
        <f t="shared" si="4"/>
      </c>
      <c r="L20" s="205">
        <f>IF(K20="",0,IF(K20="A",($F$13+1)*B20/0.93*LOOKUP(A20,'uppdat-hjälpberäkn'!$F$4:$F$94,'uppdat-hjälpberäkn'!$J$4:$J$94),IF(K20="C",($D$13+1)*B20*LOOKUP(A20,'uppdat-hjälpberäkn'!$F$4:$F$94,'uppdat-hjälpberäkn'!$I$4:$I$94),D20/IF(A20&gt;2015,0.647,0.64)*B20)))</f>
        <v>0</v>
      </c>
      <c r="M20" s="249">
        <f t="shared" si="12"/>
        <v>0</v>
      </c>
      <c r="N20" s="201">
        <v>2005</v>
      </c>
      <c r="O20" s="200">
        <f>LOOKUP(N20,'uppdat-hjälpberäkn'!$F$4:$F$94,'uppdat-hjälpberäkn'!$I$4:$I$94)</f>
        <v>39400</v>
      </c>
      <c r="P20" s="226">
        <f t="shared" si="3"/>
        <v>1.0025445292620865</v>
      </c>
      <c r="Q20" t="e">
        <f t="shared" si="0"/>
        <v>#N/A</v>
      </c>
      <c r="R20">
        <f t="shared" si="2"/>
      </c>
      <c r="S20" s="189">
        <f t="shared" si="1"/>
      </c>
      <c r="T20" s="206"/>
      <c r="U20" s="203">
        <f t="shared" si="15"/>
      </c>
      <c r="V20" s="414">
        <f t="shared" si="13"/>
      </c>
      <c r="W20" s="416"/>
      <c r="X20" s="417"/>
      <c r="Z20" s="172"/>
    </row>
    <row r="21" spans="1:26" ht="12.75">
      <c r="A21" s="203">
        <f t="shared" si="14"/>
      </c>
      <c r="B21" s="208">
        <f t="shared" si="5"/>
        <v>0</v>
      </c>
      <c r="C21" s="199">
        <f t="shared" si="6"/>
      </c>
      <c r="D21" s="204">
        <f t="shared" si="7"/>
      </c>
      <c r="E21" s="384">
        <f t="shared" si="8"/>
      </c>
      <c r="F21" s="167"/>
      <c r="G21" s="190"/>
      <c r="H21" s="230">
        <f t="shared" si="9"/>
      </c>
      <c r="I21" s="231">
        <f t="shared" si="10"/>
      </c>
      <c r="J21" s="165">
        <f t="shared" si="11"/>
      </c>
      <c r="K21" s="164">
        <f t="shared" si="4"/>
      </c>
      <c r="L21" s="205">
        <f>IF(K21="",0,IF(K21="A",($F$13+1)*B21/0.93*LOOKUP(A21,'uppdat-hjälpberäkn'!$F$4:$F$94,'uppdat-hjälpberäkn'!$J$4:$J$94),IF(K21="C",($D$13+1)*B21*LOOKUP(A21,'uppdat-hjälpberäkn'!$F$4:$F$94,'uppdat-hjälpberäkn'!$I$4:$I$94),D21/IF(A21&gt;2015,0.647,0.64)*B21)))</f>
        <v>0</v>
      </c>
      <c r="M21" s="249">
        <f t="shared" si="12"/>
        <v>0</v>
      </c>
      <c r="N21" s="201">
        <v>2006</v>
      </c>
      <c r="O21" s="200">
        <f>LOOKUP(N21,'uppdat-hjälpberäkn'!$F$4:$F$94,'uppdat-hjälpberäkn'!$I$4:$I$94)</f>
        <v>39700</v>
      </c>
      <c r="P21" s="226">
        <f t="shared" si="3"/>
        <v>1.0076142131979695</v>
      </c>
      <c r="Q21" t="e">
        <f t="shared" si="0"/>
        <v>#N/A</v>
      </c>
      <c r="R21">
        <f t="shared" si="2"/>
      </c>
      <c r="S21" s="189">
        <f>IF(R21=0,"",IF(OR(R21="",P21=""),"",IF(R21=R20,S20*P21,R21)))</f>
      </c>
      <c r="T21" s="206"/>
      <c r="U21" s="203">
        <f t="shared" si="15"/>
      </c>
      <c r="V21" s="414">
        <f t="shared" si="13"/>
      </c>
      <c r="W21" s="416"/>
      <c r="X21" s="417"/>
      <c r="Z21" s="172"/>
    </row>
    <row r="22" spans="1:26" ht="12.75">
      <c r="A22" s="203">
        <f t="shared" si="14"/>
      </c>
      <c r="B22" s="208">
        <f t="shared" si="5"/>
        <v>0</v>
      </c>
      <c r="C22" s="199">
        <f t="shared" si="6"/>
      </c>
      <c r="D22" s="204">
        <f t="shared" si="7"/>
      </c>
      <c r="E22" s="384">
        <f t="shared" si="8"/>
      </c>
      <c r="F22" s="167"/>
      <c r="G22" s="190"/>
      <c r="H22" s="230">
        <f t="shared" si="9"/>
      </c>
      <c r="I22" s="231">
        <f t="shared" si="10"/>
      </c>
      <c r="J22" s="165">
        <f t="shared" si="11"/>
      </c>
      <c r="K22" s="164">
        <f t="shared" si="4"/>
      </c>
      <c r="L22" s="205">
        <f>IF(K22="",0,IF(K22="A",($F$13+1)*B22/0.93*LOOKUP(A22,'uppdat-hjälpberäkn'!$F$4:$F$94,'uppdat-hjälpberäkn'!$J$4:$J$94),IF(K22="C",($D$13+1)*B22*LOOKUP(A22,'uppdat-hjälpberäkn'!$F$4:$F$94,'uppdat-hjälpberäkn'!$I$4:$I$94),D22/IF(A22&gt;2015,0.647,0.64)*B22)))</f>
        <v>0</v>
      </c>
      <c r="M22" s="249">
        <f t="shared" si="12"/>
        <v>0</v>
      </c>
      <c r="N22" s="201">
        <v>2007</v>
      </c>
      <c r="O22" s="200">
        <f>LOOKUP(N22,'uppdat-hjälpberäkn'!$F$4:$F$94,'uppdat-hjälpberäkn'!$I$4:$I$94)</f>
        <v>40300</v>
      </c>
      <c r="P22" s="226">
        <f t="shared" si="3"/>
        <v>1.0151133501259446</v>
      </c>
      <c r="Q22" t="e">
        <f t="shared" si="0"/>
        <v>#N/A</v>
      </c>
      <c r="R22">
        <f t="shared" si="2"/>
      </c>
      <c r="S22" s="189">
        <f aca="true" t="shared" si="16" ref="S22:S65">IF(R22=0,"",IF(OR(R22="",P22=""),"",IF(R22=R21,S21*P22,R22)))</f>
      </c>
      <c r="T22" s="206"/>
      <c r="U22" s="203">
        <f t="shared" si="15"/>
      </c>
      <c r="V22" s="414">
        <f t="shared" si="13"/>
      </c>
      <c r="W22" s="416"/>
      <c r="X22" s="417"/>
      <c r="Z22" s="172"/>
    </row>
    <row r="23" spans="1:26" ht="12.75">
      <c r="A23" s="203">
        <f t="shared" si="14"/>
      </c>
      <c r="B23" s="208">
        <f t="shared" si="5"/>
        <v>0</v>
      </c>
      <c r="C23" s="199">
        <f t="shared" si="6"/>
      </c>
      <c r="D23" s="204">
        <f t="shared" si="7"/>
      </c>
      <c r="E23" s="384">
        <f t="shared" si="8"/>
      </c>
      <c r="F23" s="167"/>
      <c r="G23" s="190"/>
      <c r="H23" s="230">
        <f t="shared" si="9"/>
      </c>
      <c r="I23" s="231">
        <f t="shared" si="10"/>
      </c>
      <c r="J23" s="165">
        <f t="shared" si="11"/>
      </c>
      <c r="K23" s="164">
        <f t="shared" si="4"/>
      </c>
      <c r="L23" s="205">
        <f>IF(K23="",0,IF(K23="A",($F$13+1)*B23/0.93*LOOKUP(A23,'uppdat-hjälpberäkn'!$F$4:$F$94,'uppdat-hjälpberäkn'!$J$4:$J$94),IF(K23="C",($D$13+1)*B23*LOOKUP(A23,'uppdat-hjälpberäkn'!$F$4:$F$94,'uppdat-hjälpberäkn'!$I$4:$I$94),D23/IF(A23&gt;2015,0.647,0.64)*B23)))</f>
        <v>0</v>
      </c>
      <c r="M23" s="249">
        <f t="shared" si="12"/>
        <v>0</v>
      </c>
      <c r="N23" s="201">
        <v>2008</v>
      </c>
      <c r="O23" s="200">
        <f>LOOKUP(N23,'uppdat-hjälpberäkn'!$F$4:$F$94,'uppdat-hjälpberäkn'!$I$4:$I$94)</f>
        <v>41000</v>
      </c>
      <c r="P23" s="226">
        <f t="shared" si="3"/>
        <v>1.0173697270471465</v>
      </c>
      <c r="Q23" t="e">
        <f t="shared" si="0"/>
        <v>#N/A</v>
      </c>
      <c r="R23">
        <f t="shared" si="2"/>
      </c>
      <c r="S23" s="189">
        <f t="shared" si="16"/>
      </c>
      <c r="T23" s="206"/>
      <c r="U23" s="203">
        <f t="shared" si="15"/>
      </c>
      <c r="V23" s="414">
        <f t="shared" si="13"/>
      </c>
      <c r="W23" s="416"/>
      <c r="X23" s="417"/>
      <c r="Z23" s="172"/>
    </row>
    <row r="24" spans="1:26" ht="12.75">
      <c r="A24" s="203">
        <f t="shared" si="14"/>
      </c>
      <c r="B24" s="208">
        <f t="shared" si="5"/>
        <v>0</v>
      </c>
      <c r="C24" s="199">
        <f t="shared" si="6"/>
      </c>
      <c r="D24" s="204">
        <f t="shared" si="7"/>
      </c>
      <c r="E24" s="384">
        <f t="shared" si="8"/>
      </c>
      <c r="F24" s="167"/>
      <c r="G24" s="190"/>
      <c r="H24" s="230">
        <f t="shared" si="9"/>
      </c>
      <c r="I24" s="231">
        <f t="shared" si="10"/>
      </c>
      <c r="J24" s="165">
        <f t="shared" si="11"/>
      </c>
      <c r="K24" s="164">
        <f t="shared" si="4"/>
      </c>
      <c r="L24" s="205">
        <f>IF(K24="",0,IF(K24="A",($F$13+1)*B24/0.93*LOOKUP(A24,'uppdat-hjälpberäkn'!$F$4:$F$94,'uppdat-hjälpberäkn'!$J$4:$J$94),IF(K24="C",($D$13+1)*B24*LOOKUP(A24,'uppdat-hjälpberäkn'!$F$4:$F$94,'uppdat-hjälpberäkn'!$I$4:$I$94),D24/IF(A24&gt;2015,0.647,0.64)*B24)))</f>
        <v>0</v>
      </c>
      <c r="M24" s="249">
        <f t="shared" si="12"/>
        <v>0</v>
      </c>
      <c r="N24" s="201">
        <v>2009</v>
      </c>
      <c r="O24" s="200">
        <f>LOOKUP(N24,'uppdat-hjälpberäkn'!$F$4:$F$94,'uppdat-hjälpberäkn'!$I$4:$I$94)</f>
        <v>42800</v>
      </c>
      <c r="P24" s="226">
        <f t="shared" si="3"/>
        <v>1.0439024390243903</v>
      </c>
      <c r="Q24" t="e">
        <f t="shared" si="0"/>
        <v>#N/A</v>
      </c>
      <c r="R24">
        <f t="shared" si="2"/>
      </c>
      <c r="S24" s="189">
        <f t="shared" si="16"/>
      </c>
      <c r="T24" s="206"/>
      <c r="U24" s="203">
        <f t="shared" si="15"/>
      </c>
      <c r="V24" s="414">
        <f t="shared" si="13"/>
      </c>
      <c r="W24" s="416"/>
      <c r="X24" s="417"/>
      <c r="Z24" s="172"/>
    </row>
    <row r="25" spans="1:26" ht="12.75">
      <c r="A25" s="203">
        <f t="shared" si="14"/>
      </c>
      <c r="B25" s="208">
        <f t="shared" si="5"/>
        <v>0</v>
      </c>
      <c r="C25" s="199">
        <f t="shared" si="6"/>
      </c>
      <c r="D25" s="204">
        <f t="shared" si="7"/>
      </c>
      <c r="E25" s="384">
        <f t="shared" si="8"/>
      </c>
      <c r="F25" s="167"/>
      <c r="G25" s="190"/>
      <c r="H25" s="230">
        <f t="shared" si="9"/>
      </c>
      <c r="I25" s="231">
        <f t="shared" si="10"/>
      </c>
      <c r="J25" s="165">
        <f t="shared" si="11"/>
      </c>
      <c r="K25" s="164">
        <f t="shared" si="4"/>
      </c>
      <c r="L25" s="205">
        <f>IF(K25="",0,IF(K25="A",($F$13+1)*B25/0.93*LOOKUP(A25,'uppdat-hjälpberäkn'!$F$4:$F$94,'uppdat-hjälpberäkn'!$J$4:$J$94),IF(K25="C",($D$13+1)*B25*LOOKUP(A25,'uppdat-hjälpberäkn'!$F$4:$F$94,'uppdat-hjälpberäkn'!$I$4:$I$94),D25/IF(A25&gt;2015,0.647,0.64)*B25)))</f>
        <v>0</v>
      </c>
      <c r="M25" s="249">
        <f t="shared" si="12"/>
        <v>0</v>
      </c>
      <c r="N25" s="201">
        <v>2010</v>
      </c>
      <c r="O25" s="200">
        <f>LOOKUP(N25,'uppdat-hjälpberäkn'!$F$4:$F$94,'uppdat-hjälpberäkn'!$I$4:$I$94)</f>
        <v>42400</v>
      </c>
      <c r="P25" s="226">
        <f t="shared" si="3"/>
        <v>0.9906542056074766</v>
      </c>
      <c r="Q25" t="e">
        <f t="shared" si="0"/>
        <v>#N/A</v>
      </c>
      <c r="R25">
        <f t="shared" si="2"/>
      </c>
      <c r="S25" s="189">
        <f t="shared" si="16"/>
      </c>
      <c r="T25" s="206"/>
      <c r="U25" s="203">
        <f t="shared" si="15"/>
      </c>
      <c r="V25" s="414">
        <f t="shared" si="13"/>
      </c>
      <c r="W25" s="416"/>
      <c r="X25" s="417"/>
      <c r="Z25" s="172"/>
    </row>
    <row r="26" spans="1:26" ht="12.75">
      <c r="A26" s="203">
        <f t="shared" si="14"/>
      </c>
      <c r="B26" s="208">
        <f t="shared" si="5"/>
        <v>0</v>
      </c>
      <c r="C26" s="199">
        <f t="shared" si="6"/>
      </c>
      <c r="D26" s="204">
        <f t="shared" si="7"/>
      </c>
      <c r="E26" s="384">
        <f t="shared" si="8"/>
      </c>
      <c r="F26" s="167"/>
      <c r="G26" s="190"/>
      <c r="H26" s="230">
        <f t="shared" si="9"/>
      </c>
      <c r="I26" s="231">
        <f t="shared" si="10"/>
      </c>
      <c r="J26" s="165">
        <f t="shared" si="11"/>
      </c>
      <c r="K26" s="164">
        <f t="shared" si="4"/>
      </c>
      <c r="L26" s="205">
        <f>IF(K26="",0,IF(K26="A",($F$13+1)*B26/0.93*LOOKUP(A26,'uppdat-hjälpberäkn'!$F$4:$F$94,'uppdat-hjälpberäkn'!$J$4:$J$94),IF(K26="C",($D$13+1)*B26*LOOKUP(A26,'uppdat-hjälpberäkn'!$F$4:$F$94,'uppdat-hjälpberäkn'!$I$4:$I$94),D26/IF(A26&gt;2015,0.647,0.64)*B26)))</f>
        <v>0</v>
      </c>
      <c r="M26" s="249">
        <f t="shared" si="12"/>
        <v>0</v>
      </c>
      <c r="N26" s="201">
        <v>2011</v>
      </c>
      <c r="O26" s="200">
        <f>LOOKUP(N26,'uppdat-hjälpberäkn'!$F$4:$F$94,'uppdat-hjälpberäkn'!$I$4:$I$94)</f>
        <v>42800</v>
      </c>
      <c r="P26" s="226">
        <f t="shared" si="3"/>
        <v>1.009433962264151</v>
      </c>
      <c r="Q26" t="e">
        <f t="shared" si="0"/>
        <v>#N/A</v>
      </c>
      <c r="R26">
        <f t="shared" si="2"/>
      </c>
      <c r="S26" s="189">
        <f t="shared" si="16"/>
      </c>
      <c r="T26" s="206"/>
      <c r="U26" s="203">
        <f t="shared" si="15"/>
      </c>
      <c r="V26" s="414">
        <f t="shared" si="13"/>
      </c>
      <c r="W26" s="416"/>
      <c r="X26" s="417"/>
      <c r="Z26" s="172"/>
    </row>
    <row r="27" spans="1:26" ht="12.75">
      <c r="A27" s="203">
        <f t="shared" si="14"/>
      </c>
      <c r="B27" s="208">
        <f t="shared" si="5"/>
        <v>0</v>
      </c>
      <c r="C27" s="199">
        <f t="shared" si="6"/>
      </c>
      <c r="D27" s="204">
        <f t="shared" si="7"/>
      </c>
      <c r="E27" s="384">
        <f t="shared" si="8"/>
      </c>
      <c r="F27" s="167"/>
      <c r="G27" s="190"/>
      <c r="H27" s="230">
        <f t="shared" si="9"/>
      </c>
      <c r="I27" s="231">
        <f t="shared" si="10"/>
      </c>
      <c r="J27" s="165">
        <f t="shared" si="11"/>
      </c>
      <c r="K27" s="164">
        <f t="shared" si="4"/>
      </c>
      <c r="L27" s="205">
        <f>IF(K27="",0,IF(K27="A",($F$13+1)*B27/0.93*LOOKUP(A27,'uppdat-hjälpberäkn'!$F$4:$F$94,'uppdat-hjälpberäkn'!$J$4:$J$94),IF(K27="C",($D$13+1)*B27*LOOKUP(A27,'uppdat-hjälpberäkn'!$F$4:$F$94,'uppdat-hjälpberäkn'!$I$4:$I$94),D27/IF(A27&gt;2015,0.647,0.64)*B27)))</f>
        <v>0</v>
      </c>
      <c r="M27" s="249">
        <f t="shared" si="12"/>
        <v>0</v>
      </c>
      <c r="N27" s="201">
        <v>2012</v>
      </c>
      <c r="O27" s="200">
        <f>LOOKUP(N27,'uppdat-hjälpberäkn'!$F$4:$F$94,'uppdat-hjälpberäkn'!$I$4:$I$94)</f>
        <v>44000</v>
      </c>
      <c r="P27" s="226">
        <f t="shared" si="3"/>
        <v>1.02803738317757</v>
      </c>
      <c r="Q27" t="e">
        <f t="shared" si="0"/>
        <v>#N/A</v>
      </c>
      <c r="R27">
        <f t="shared" si="2"/>
      </c>
      <c r="S27" s="189">
        <f t="shared" si="16"/>
      </c>
      <c r="T27" s="206"/>
      <c r="U27" s="203">
        <f t="shared" si="15"/>
      </c>
      <c r="V27" s="414">
        <f t="shared" si="13"/>
      </c>
      <c r="W27" s="416"/>
      <c r="X27" s="417"/>
      <c r="Z27" s="172"/>
    </row>
    <row r="28" spans="1:26" ht="12.75">
      <c r="A28" s="203">
        <f t="shared" si="14"/>
      </c>
      <c r="B28" s="208">
        <f t="shared" si="5"/>
        <v>0</v>
      </c>
      <c r="C28" s="199">
        <f t="shared" si="6"/>
      </c>
      <c r="D28" s="204">
        <f t="shared" si="7"/>
      </c>
      <c r="E28" s="384">
        <f t="shared" si="8"/>
      </c>
      <c r="F28" s="167"/>
      <c r="G28" s="190"/>
      <c r="H28" s="230">
        <f t="shared" si="9"/>
      </c>
      <c r="I28" s="231">
        <f t="shared" si="10"/>
      </c>
      <c r="J28" s="165">
        <f t="shared" si="11"/>
      </c>
      <c r="K28" s="164">
        <f t="shared" si="4"/>
      </c>
      <c r="L28" s="205">
        <f>IF(K28="",0,IF(K28="A",($F$13+1)*B28/0.93*LOOKUP(A28,'uppdat-hjälpberäkn'!$F$4:$F$94,'uppdat-hjälpberäkn'!$J$4:$J$94),IF(K28="C",($D$13+1)*B28*LOOKUP(A28,'uppdat-hjälpberäkn'!$F$4:$F$94,'uppdat-hjälpberäkn'!$I$4:$I$94),D28/IF(A28&gt;2015,0.647,0.64)*B28)))</f>
        <v>0</v>
      </c>
      <c r="M28" s="249">
        <f t="shared" si="12"/>
        <v>0</v>
      </c>
      <c r="N28" s="201">
        <v>2013</v>
      </c>
      <c r="O28" s="200">
        <f>LOOKUP(N28,'uppdat-hjälpberäkn'!$F$4:$F$94,'uppdat-hjälpberäkn'!$I$4:$I$94)</f>
        <v>44500</v>
      </c>
      <c r="P28" s="226">
        <f t="shared" si="3"/>
        <v>1.0113636363636365</v>
      </c>
      <c r="Q28" t="e">
        <f t="shared" si="0"/>
        <v>#N/A</v>
      </c>
      <c r="R28">
        <f t="shared" si="2"/>
      </c>
      <c r="S28" s="189">
        <f t="shared" si="16"/>
      </c>
      <c r="T28" s="206"/>
      <c r="U28" s="203">
        <f t="shared" si="15"/>
      </c>
      <c r="V28" s="414">
        <f t="shared" si="13"/>
      </c>
      <c r="W28" s="416"/>
      <c r="X28" s="417"/>
      <c r="Z28" s="172"/>
    </row>
    <row r="29" spans="1:26" ht="12.75">
      <c r="A29" s="203">
        <f t="shared" si="14"/>
      </c>
      <c r="B29" s="208">
        <f t="shared" si="5"/>
        <v>0</v>
      </c>
      <c r="C29" s="199">
        <f t="shared" si="6"/>
      </c>
      <c r="D29" s="204">
        <f t="shared" si="7"/>
      </c>
      <c r="E29" s="384">
        <f t="shared" si="8"/>
      </c>
      <c r="F29" s="167"/>
      <c r="G29" s="190"/>
      <c r="H29" s="230">
        <f t="shared" si="9"/>
      </c>
      <c r="I29" s="231">
        <f t="shared" si="10"/>
      </c>
      <c r="J29" s="165">
        <f t="shared" si="11"/>
      </c>
      <c r="K29" s="164">
        <f t="shared" si="4"/>
      </c>
      <c r="L29" s="205">
        <f>IF(K29="",0,IF(K29="A",($F$13+1)*B29/0.93*LOOKUP(A29,'uppdat-hjälpberäkn'!$F$4:$F$94,'uppdat-hjälpberäkn'!$J$4:$J$94),IF(K29="C",($D$13+1)*B29*LOOKUP(A29,'uppdat-hjälpberäkn'!$F$4:$F$94,'uppdat-hjälpberäkn'!$I$4:$I$94),D29/IF(A29&gt;2015,0.647,0.64)*B29)))</f>
        <v>0</v>
      </c>
      <c r="M29" s="249">
        <f t="shared" si="12"/>
        <v>0</v>
      </c>
      <c r="N29" s="201">
        <v>2014</v>
      </c>
      <c r="O29" s="200">
        <f>LOOKUP(N29,'uppdat-hjälpberäkn'!$F$4:$F$94,'uppdat-hjälpberäkn'!$I$4:$I$94)</f>
        <v>44400</v>
      </c>
      <c r="P29" s="226">
        <f t="shared" si="3"/>
        <v>0.9977528089887641</v>
      </c>
      <c r="Q29" t="e">
        <f t="shared" si="0"/>
        <v>#N/A</v>
      </c>
      <c r="R29">
        <f t="shared" si="2"/>
      </c>
      <c r="S29" s="189">
        <f t="shared" si="16"/>
      </c>
      <c r="T29" s="206"/>
      <c r="U29" s="203">
        <f t="shared" si="15"/>
      </c>
      <c r="V29" s="414">
        <f t="shared" si="13"/>
      </c>
      <c r="W29" s="416"/>
      <c r="X29" s="417"/>
      <c r="Z29" s="172"/>
    </row>
    <row r="30" spans="1:26" ht="12.75">
      <c r="A30" s="203">
        <f t="shared" si="14"/>
      </c>
      <c r="B30" s="208">
        <f t="shared" si="5"/>
        <v>0</v>
      </c>
      <c r="C30" s="199">
        <f t="shared" si="6"/>
      </c>
      <c r="D30" s="204">
        <f t="shared" si="7"/>
      </c>
      <c r="E30" s="384">
        <f t="shared" si="8"/>
      </c>
      <c r="F30" s="167"/>
      <c r="G30" s="190"/>
      <c r="H30" s="230">
        <f t="shared" si="9"/>
      </c>
      <c r="I30" s="231">
        <f t="shared" si="10"/>
      </c>
      <c r="J30" s="165">
        <f t="shared" si="11"/>
      </c>
      <c r="K30" s="164">
        <f t="shared" si="4"/>
      </c>
      <c r="L30" s="205">
        <f>IF(K30="",0,IF(K30="A",($F$13+1)*B30/0.93*LOOKUP(A30,'uppdat-hjälpberäkn'!$F$4:$F$94,'uppdat-hjälpberäkn'!$J$4:$J$94),IF(K30="C",($D$13+1)*B30*LOOKUP(A30,'uppdat-hjälpberäkn'!$F$4:$F$94,'uppdat-hjälpberäkn'!$I$4:$I$94),D30/IF(A30&gt;2015,0.647,0.64)*B30)))</f>
        <v>0</v>
      </c>
      <c r="M30" s="249">
        <f t="shared" si="12"/>
        <v>0</v>
      </c>
      <c r="N30" s="201">
        <v>2015</v>
      </c>
      <c r="O30" s="200">
        <f>LOOKUP(N30,'uppdat-hjälpberäkn'!$F$4:$F$94,'uppdat-hjälpberäkn'!$I$4:$I$94)</f>
        <v>44500</v>
      </c>
      <c r="P30" s="226">
        <f t="shared" si="3"/>
        <v>1.0022522522522523</v>
      </c>
      <c r="Q30" t="e">
        <f t="shared" si="0"/>
        <v>#N/A</v>
      </c>
      <c r="R30">
        <f t="shared" si="2"/>
      </c>
      <c r="S30" s="189">
        <f t="shared" si="16"/>
      </c>
      <c r="T30" s="206"/>
      <c r="U30" s="203">
        <f t="shared" si="15"/>
      </c>
      <c r="V30" s="414">
        <f t="shared" si="13"/>
      </c>
      <c r="W30" s="416"/>
      <c r="X30" s="417"/>
      <c r="Z30" s="172"/>
    </row>
    <row r="31" spans="1:26" ht="12.75">
      <c r="A31" s="203">
        <f t="shared" si="14"/>
      </c>
      <c r="B31" s="208">
        <f t="shared" si="5"/>
        <v>0</v>
      </c>
      <c r="C31" s="199">
        <f t="shared" si="6"/>
      </c>
      <c r="D31" s="204">
        <f t="shared" si="7"/>
      </c>
      <c r="E31" s="384">
        <f t="shared" si="8"/>
      </c>
      <c r="F31" s="167"/>
      <c r="G31" s="190"/>
      <c r="H31" s="230">
        <f t="shared" si="9"/>
      </c>
      <c r="I31" s="231">
        <f t="shared" si="10"/>
      </c>
      <c r="J31" s="165">
        <f t="shared" si="11"/>
      </c>
      <c r="K31" s="164">
        <f t="shared" si="4"/>
      </c>
      <c r="L31" s="205">
        <f>IF(K31="",0,IF(K31="A",($F$13+1)*B31/0.93*LOOKUP(A31,'uppdat-hjälpberäkn'!$F$4:$F$94,'uppdat-hjälpberäkn'!$J$4:$J$94),IF(K31="C",($D$13+1)*B31*LOOKUP(A31,'uppdat-hjälpberäkn'!$F$4:$F$94,'uppdat-hjälpberäkn'!$I$4:$I$94),D31/IF(A31&gt;2015,0.647,0.64)*B31)))</f>
        <v>0</v>
      </c>
      <c r="M31" s="249">
        <f t="shared" si="12"/>
        <v>0</v>
      </c>
      <c r="N31" s="201">
        <v>2016</v>
      </c>
      <c r="O31" s="200">
        <f>LOOKUP(N31,'uppdat-hjälpberäkn'!$F$4:$F$94,'uppdat-hjälpberäkn'!$I$4:$I$94)</f>
        <v>44300</v>
      </c>
      <c r="P31" s="226">
        <f t="shared" si="3"/>
        <v>0.9955056179775281</v>
      </c>
      <c r="Q31" t="e">
        <f t="shared" si="0"/>
        <v>#N/A</v>
      </c>
      <c r="R31">
        <f t="shared" si="2"/>
      </c>
      <c r="S31" s="189">
        <f t="shared" si="16"/>
      </c>
      <c r="T31" s="206"/>
      <c r="U31" s="203">
        <f t="shared" si="15"/>
      </c>
      <c r="V31" s="414">
        <f t="shared" si="13"/>
      </c>
      <c r="W31" s="416"/>
      <c r="X31" s="417"/>
      <c r="Z31" s="172"/>
    </row>
    <row r="32" spans="1:26" ht="12.75">
      <c r="A32" s="203">
        <f t="shared" si="14"/>
      </c>
      <c r="B32" s="208">
        <f t="shared" si="5"/>
        <v>0</v>
      </c>
      <c r="C32" s="199">
        <f t="shared" si="6"/>
      </c>
      <c r="D32" s="204">
        <f t="shared" si="7"/>
      </c>
      <c r="E32" s="384">
        <f t="shared" si="8"/>
      </c>
      <c r="F32" s="167"/>
      <c r="G32" s="190"/>
      <c r="H32" s="230">
        <f t="shared" si="9"/>
      </c>
      <c r="I32" s="231">
        <f t="shared" si="10"/>
      </c>
      <c r="J32" s="165">
        <f t="shared" si="11"/>
      </c>
      <c r="K32" s="164">
        <f t="shared" si="4"/>
      </c>
      <c r="L32" s="205">
        <f>IF(K32="",0,IF(K32="A",($F$13+1)*B32/0.93*LOOKUP(A32,'uppdat-hjälpberäkn'!$F$4:$F$94,'uppdat-hjälpberäkn'!$J$4:$J$94),IF(K32="C",($D$13+1)*B32*LOOKUP(A32,'uppdat-hjälpberäkn'!$F$4:$F$94,'uppdat-hjälpberäkn'!$I$4:$I$94),D32/IF(A32&gt;2015,0.647,0.64)*B32)))</f>
        <v>0</v>
      </c>
      <c r="M32" s="249">
        <f t="shared" si="12"/>
        <v>0</v>
      </c>
      <c r="N32" s="201">
        <v>2017</v>
      </c>
      <c r="O32" s="200">
        <f>LOOKUP(N32,'uppdat-hjälpberäkn'!$F$4:$F$94,'uppdat-hjälpberäkn'!$I$4:$I$94)</f>
        <v>44800</v>
      </c>
      <c r="P32" s="226">
        <f t="shared" si="3"/>
        <v>1.0112866817155757</v>
      </c>
      <c r="Q32" t="e">
        <f t="shared" si="0"/>
        <v>#N/A</v>
      </c>
      <c r="R32">
        <f t="shared" si="2"/>
      </c>
      <c r="S32" s="189">
        <f t="shared" si="16"/>
      </c>
      <c r="T32" s="206"/>
      <c r="U32" s="203">
        <f t="shared" si="15"/>
      </c>
      <c r="V32" s="414">
        <f t="shared" si="13"/>
      </c>
      <c r="W32" s="416"/>
      <c r="X32" s="417"/>
      <c r="Z32" s="172"/>
    </row>
    <row r="33" spans="1:26" ht="12.75">
      <c r="A33" s="203">
        <f t="shared" si="14"/>
      </c>
      <c r="B33" s="208">
        <f t="shared" si="5"/>
        <v>0</v>
      </c>
      <c r="C33" s="199">
        <f t="shared" si="6"/>
      </c>
      <c r="D33" s="204">
        <f t="shared" si="7"/>
      </c>
      <c r="E33" s="384">
        <f t="shared" si="8"/>
      </c>
      <c r="F33" s="167"/>
      <c r="G33" s="190"/>
      <c r="H33" s="230">
        <f t="shared" si="9"/>
      </c>
      <c r="I33" s="231">
        <f t="shared" si="10"/>
      </c>
      <c r="J33" s="165">
        <f t="shared" si="11"/>
      </c>
      <c r="K33" s="164">
        <f t="shared" si="4"/>
      </c>
      <c r="L33" s="205">
        <f>IF(K33="",0,IF(K33="A",($F$13+1)*B33/0.93*LOOKUP(A33,'uppdat-hjälpberäkn'!$F$4:$F$94,'uppdat-hjälpberäkn'!$J$4:$J$94),IF(K33="C",($D$13+1)*B33*LOOKUP(A33,'uppdat-hjälpberäkn'!$F$4:$F$94,'uppdat-hjälpberäkn'!$I$4:$I$94),D33/IF(A33&gt;2015,0.647,0.64)*B33)))</f>
        <v>0</v>
      </c>
      <c r="M33" s="249">
        <f t="shared" si="12"/>
        <v>0</v>
      </c>
      <c r="N33" s="201">
        <v>2018</v>
      </c>
      <c r="O33" s="200">
        <f>LOOKUP(N33,'uppdat-hjälpberäkn'!$F$4:$F$94,'uppdat-hjälpberäkn'!$I$4:$I$94)</f>
        <v>45500</v>
      </c>
      <c r="P33" s="226">
        <f t="shared" si="3"/>
        <v>1.015625</v>
      </c>
      <c r="Q33" t="e">
        <f t="shared" si="0"/>
        <v>#N/A</v>
      </c>
      <c r="R33">
        <f t="shared" si="2"/>
      </c>
      <c r="S33" s="189">
        <f t="shared" si="16"/>
      </c>
      <c r="T33" s="206"/>
      <c r="U33" s="203">
        <f t="shared" si="15"/>
      </c>
      <c r="V33" s="414">
        <f t="shared" si="13"/>
      </c>
      <c r="W33" s="416"/>
      <c r="X33" s="417"/>
      <c r="Z33" s="172"/>
    </row>
    <row r="34" spans="1:26" ht="12.75">
      <c r="A34" s="203">
        <f t="shared" si="14"/>
      </c>
      <c r="B34" s="208">
        <f t="shared" si="5"/>
        <v>0</v>
      </c>
      <c r="C34" s="199">
        <f t="shared" si="6"/>
      </c>
      <c r="D34" s="204">
        <f t="shared" si="7"/>
      </c>
      <c r="E34" s="384">
        <f t="shared" si="8"/>
      </c>
      <c r="F34" s="167"/>
      <c r="G34" s="190"/>
      <c r="H34" s="230">
        <f t="shared" si="9"/>
      </c>
      <c r="I34" s="231">
        <f t="shared" si="10"/>
      </c>
      <c r="J34" s="165">
        <f t="shared" si="11"/>
      </c>
      <c r="K34" s="164">
        <f t="shared" si="4"/>
      </c>
      <c r="L34" s="205">
        <f>IF(K34="",0,IF(K34="A",($F$13+1)*B34/0.93*LOOKUP(A34,'uppdat-hjälpberäkn'!$F$4:$F$94,'uppdat-hjälpberäkn'!$J$4:$J$94),IF(K34="C",($D$13+1)*B34*LOOKUP(A34,'uppdat-hjälpberäkn'!$F$4:$F$94,'uppdat-hjälpberäkn'!$I$4:$I$94),D34/IF(A34&gt;2015,0.647,0.64)*B34)))</f>
        <v>0</v>
      </c>
      <c r="M34" s="249">
        <f t="shared" si="12"/>
        <v>0</v>
      </c>
      <c r="N34" s="201">
        <v>2019</v>
      </c>
      <c r="O34" s="200">
        <f>LOOKUP(N34,'uppdat-hjälpberäkn'!$F$4:$F$94,'uppdat-hjälpberäkn'!$I$4:$I$94)</f>
        <v>46500</v>
      </c>
      <c r="P34" s="226">
        <f t="shared" si="3"/>
        <v>1.021978021978022</v>
      </c>
      <c r="Q34" t="e">
        <f t="shared" si="0"/>
        <v>#N/A</v>
      </c>
      <c r="R34">
        <f t="shared" si="2"/>
      </c>
      <c r="S34" s="189">
        <f t="shared" si="16"/>
      </c>
      <c r="T34" s="206"/>
      <c r="U34" s="203">
        <f t="shared" si="15"/>
      </c>
      <c r="V34" s="414">
        <f t="shared" si="13"/>
      </c>
      <c r="W34" s="416"/>
      <c r="X34" s="417"/>
      <c r="Z34" s="172"/>
    </row>
    <row r="35" spans="1:26" ht="12.75">
      <c r="A35" s="203">
        <f t="shared" si="14"/>
      </c>
      <c r="B35" s="208">
        <f t="shared" si="5"/>
        <v>0</v>
      </c>
      <c r="C35" s="199">
        <f t="shared" si="6"/>
      </c>
      <c r="D35" s="204">
        <f t="shared" si="7"/>
      </c>
      <c r="E35" s="384">
        <f t="shared" si="8"/>
      </c>
      <c r="F35" s="167"/>
      <c r="G35" s="190"/>
      <c r="H35" s="230">
        <f t="shared" si="9"/>
      </c>
      <c r="I35" s="231">
        <f t="shared" si="10"/>
      </c>
      <c r="J35" s="165">
        <f t="shared" si="11"/>
      </c>
      <c r="K35" s="164">
        <f t="shared" si="4"/>
      </c>
      <c r="L35" s="205">
        <f>IF(K35="",0,IF(K35="A",($F$13+1)*B35/0.93*LOOKUP(A35,'uppdat-hjälpberäkn'!$F$4:$F$94,'uppdat-hjälpberäkn'!$J$4:$J$94),IF(K35="C",($D$13+1)*B35*LOOKUP(A35,'uppdat-hjälpberäkn'!$F$4:$F$94,'uppdat-hjälpberäkn'!$I$4:$I$94),D35/IF(A35&gt;2015,0.647,0.64)*B35)))</f>
        <v>0</v>
      </c>
      <c r="M35" s="249">
        <f t="shared" si="12"/>
        <v>0</v>
      </c>
      <c r="N35" s="201">
        <v>2020</v>
      </c>
      <c r="O35" s="200">
        <f>LOOKUP(N35,'uppdat-hjälpberäkn'!$F$4:$F$94,'uppdat-hjälpberäkn'!$I$4:$I$94)</f>
        <v>47300</v>
      </c>
      <c r="P35" s="226">
        <f t="shared" si="3"/>
        <v>1.0172043010752687</v>
      </c>
      <c r="Q35" t="e">
        <f t="shared" si="0"/>
        <v>#N/A</v>
      </c>
      <c r="R35">
        <f t="shared" si="2"/>
      </c>
      <c r="S35" s="189">
        <f t="shared" si="16"/>
      </c>
      <c r="T35" s="206"/>
      <c r="U35" s="203">
        <f t="shared" si="15"/>
      </c>
      <c r="V35" s="414">
        <f t="shared" si="13"/>
      </c>
      <c r="W35" s="416"/>
      <c r="X35" s="417"/>
      <c r="Z35" s="172"/>
    </row>
    <row r="36" spans="1:26" ht="12.75">
      <c r="A36" s="203">
        <f t="shared" si="14"/>
      </c>
      <c r="B36" s="208">
        <f t="shared" si="5"/>
        <v>0</v>
      </c>
      <c r="C36" s="199">
        <f t="shared" si="6"/>
      </c>
      <c r="D36" s="204">
        <f t="shared" si="7"/>
      </c>
      <c r="E36" s="384">
        <f t="shared" si="8"/>
      </c>
      <c r="F36" s="167"/>
      <c r="G36" s="190"/>
      <c r="H36" s="230">
        <f t="shared" si="9"/>
      </c>
      <c r="I36" s="231">
        <f t="shared" si="10"/>
      </c>
      <c r="J36" s="165">
        <f t="shared" si="11"/>
      </c>
      <c r="K36" s="164">
        <f t="shared" si="4"/>
      </c>
      <c r="L36" s="205">
        <f>IF(K36="",0,IF(K36="A",($F$13+1)*B36/0.93*LOOKUP(A36,'uppdat-hjälpberäkn'!$F$4:$F$94,'uppdat-hjälpberäkn'!$J$4:$J$94),IF(K36="C",($D$13+1)*B36*LOOKUP(A36,'uppdat-hjälpberäkn'!$F$4:$F$94,'uppdat-hjälpberäkn'!$I$4:$I$94),D36/IF(A36&gt;2015,0.647,0.64)*B36)))</f>
        <v>0</v>
      </c>
      <c r="M36" s="249">
        <f t="shared" si="12"/>
        <v>0</v>
      </c>
      <c r="N36" s="201">
        <v>2021</v>
      </c>
      <c r="O36" s="200">
        <f>LOOKUP(N36,'uppdat-hjälpberäkn'!$F$4:$F$94,'uppdat-hjälpberäkn'!$I$4:$I$94)</f>
        <v>47600</v>
      </c>
      <c r="P36" s="226">
        <f t="shared" si="3"/>
        <v>1.0063424947145878</v>
      </c>
      <c r="Q36" t="e">
        <f t="shared" si="0"/>
        <v>#N/A</v>
      </c>
      <c r="R36">
        <f t="shared" si="2"/>
      </c>
      <c r="S36" s="189">
        <f t="shared" si="16"/>
      </c>
      <c r="T36" s="206"/>
      <c r="U36" s="203">
        <f t="shared" si="15"/>
      </c>
      <c r="V36" s="414">
        <f t="shared" si="13"/>
      </c>
      <c r="W36" s="416"/>
      <c r="X36" s="417"/>
      <c r="Z36" s="172"/>
    </row>
    <row r="37" spans="1:26" ht="12.75">
      <c r="A37" s="203">
        <f t="shared" si="14"/>
      </c>
      <c r="B37" s="208">
        <f t="shared" si="5"/>
        <v>0</v>
      </c>
      <c r="C37" s="199">
        <f t="shared" si="6"/>
      </c>
      <c r="D37" s="204">
        <f t="shared" si="7"/>
      </c>
      <c r="E37" s="384">
        <f t="shared" si="8"/>
      </c>
      <c r="F37" s="167"/>
      <c r="G37" s="190"/>
      <c r="H37" s="230">
        <f t="shared" si="9"/>
      </c>
      <c r="I37" s="231">
        <f t="shared" si="10"/>
      </c>
      <c r="J37" s="165">
        <f t="shared" si="11"/>
      </c>
      <c r="K37" s="164">
        <f t="shared" si="4"/>
      </c>
      <c r="L37" s="205">
        <f>IF(K37="",0,IF(K37="A",($F$13+1)*B37/0.93*LOOKUP(A37,'uppdat-hjälpberäkn'!$F$4:$F$94,'uppdat-hjälpberäkn'!$J$4:$J$94),IF(K37="C",($D$13+1)*B37*LOOKUP(A37,'uppdat-hjälpberäkn'!$F$4:$F$94,'uppdat-hjälpberäkn'!$I$4:$I$94),D37/IF(A37&gt;2015,0.647,0.64)*B37)))</f>
        <v>0</v>
      </c>
      <c r="M37" s="249">
        <f t="shared" si="12"/>
        <v>0</v>
      </c>
      <c r="N37" s="201">
        <v>2022</v>
      </c>
      <c r="O37" s="200">
        <f>LOOKUP(N37,'uppdat-hjälpberäkn'!$F$4:$F$94,'uppdat-hjälpberäkn'!$I$4:$I$94)</f>
        <v>48300</v>
      </c>
      <c r="P37" s="226">
        <f t="shared" si="3"/>
        <v>1.0147058823529411</v>
      </c>
      <c r="Q37" t="e">
        <f t="shared" si="0"/>
        <v>#N/A</v>
      </c>
      <c r="R37">
        <f t="shared" si="2"/>
      </c>
      <c r="S37" s="189">
        <f t="shared" si="16"/>
      </c>
      <c r="T37" s="206"/>
      <c r="U37" s="203">
        <f t="shared" si="15"/>
      </c>
      <c r="V37" s="414">
        <f t="shared" si="13"/>
      </c>
      <c r="W37" s="416"/>
      <c r="X37" s="417"/>
      <c r="Z37" s="172"/>
    </row>
    <row r="38" spans="1:26" ht="12.75">
      <c r="A38" s="203">
        <f t="shared" si="14"/>
      </c>
      <c r="B38" s="208">
        <f t="shared" si="5"/>
        <v>0</v>
      </c>
      <c r="C38" s="199">
        <f t="shared" si="6"/>
      </c>
      <c r="D38" s="204">
        <f t="shared" si="7"/>
      </c>
      <c r="E38" s="384">
        <f t="shared" si="8"/>
      </c>
      <c r="F38" s="167"/>
      <c r="G38" s="190"/>
      <c r="H38" s="230">
        <f t="shared" si="9"/>
      </c>
      <c r="I38" s="231">
        <f t="shared" si="10"/>
      </c>
      <c r="J38" s="165">
        <f t="shared" si="11"/>
      </c>
      <c r="K38" s="164">
        <f t="shared" si="4"/>
      </c>
      <c r="L38" s="205">
        <f>IF(K38="",0,IF(K38="A",($F$13+1)*B38/0.93*LOOKUP(A38,'uppdat-hjälpberäkn'!$F$4:$F$94,'uppdat-hjälpberäkn'!$J$4:$J$94),IF(K38="C",($D$13+1)*B38*LOOKUP(A38,'uppdat-hjälpberäkn'!$F$4:$F$94,'uppdat-hjälpberäkn'!$I$4:$I$94),D38/IF(A38&gt;2015,0.647,0.64)*B38)))</f>
        <v>0</v>
      </c>
      <c r="M38" s="249">
        <f t="shared" si="12"/>
        <v>0</v>
      </c>
      <c r="N38" s="201">
        <v>2023</v>
      </c>
      <c r="O38" s="200">
        <f>LOOKUP(N38,'uppdat-hjälpberäkn'!$F$4:$F$94,'uppdat-hjälpberäkn'!$I$4:$I$94)</f>
        <v>52500</v>
      </c>
      <c r="P38" s="226">
        <f t="shared" si="3"/>
        <v>1.0869565217391304</v>
      </c>
      <c r="Q38" t="e">
        <f t="shared" si="0"/>
        <v>#N/A</v>
      </c>
      <c r="R38">
        <f t="shared" si="2"/>
      </c>
      <c r="S38" s="189">
        <f t="shared" si="16"/>
      </c>
      <c r="T38" s="206"/>
      <c r="U38" s="203">
        <f t="shared" si="15"/>
      </c>
      <c r="V38" s="414">
        <f t="shared" si="13"/>
      </c>
      <c r="W38" s="416"/>
      <c r="X38" s="417"/>
      <c r="Z38" s="172"/>
    </row>
    <row r="39" spans="14:24" ht="12.75">
      <c r="N39" s="201">
        <v>2024</v>
      </c>
      <c r="O39" s="200">
        <f>LOOKUP(N39,'uppdat-hjälpberäkn'!$F$4:$F$94,'uppdat-hjälpberäkn'!$I$4:$I$94)</f>
        <v>57300</v>
      </c>
      <c r="P39" s="226">
        <f t="shared" si="3"/>
        <v>1.0914285714285714</v>
      </c>
      <c r="Q39" t="e">
        <f t="shared" si="0"/>
        <v>#N/A</v>
      </c>
      <c r="R39">
        <f t="shared" si="2"/>
      </c>
      <c r="S39" s="189">
        <f t="shared" si="16"/>
      </c>
      <c r="T39" s="406" t="s">
        <v>362</v>
      </c>
      <c r="U39" s="405" t="e">
        <f>LARGE(U16:U38,1)</f>
        <v>#NUM!</v>
      </c>
      <c r="W39" s="416"/>
      <c r="X39" s="417"/>
    </row>
    <row r="40" spans="1:19" ht="12.75">
      <c r="A40" t="s">
        <v>242</v>
      </c>
      <c r="D40" t="e">
        <f>LARGE(C5:C7,1)</f>
        <v>#NUM!</v>
      </c>
      <c r="N40" s="201">
        <v>2025</v>
      </c>
      <c r="O40" s="200">
        <f>LOOKUP(N40,'uppdat-hjälpberäkn'!$F$4:$F$94,'uppdat-hjälpberäkn'!$I$4:$I$94)</f>
        <v>0</v>
      </c>
      <c r="P40" s="226">
        <f t="shared" si="3"/>
        <v>0</v>
      </c>
      <c r="Q40" t="e">
        <f t="shared" si="0"/>
        <v>#N/A</v>
      </c>
      <c r="R40">
        <f t="shared" si="2"/>
      </c>
      <c r="S40" s="189">
        <f t="shared" si="16"/>
      </c>
    </row>
    <row r="41" spans="1:19" ht="12.75">
      <c r="A41" s="232" t="s">
        <v>241</v>
      </c>
      <c r="B41" s="232"/>
      <c r="C41" s="232"/>
      <c r="J41" t="b">
        <f>IF(D9&gt;2003,D9)</f>
        <v>0</v>
      </c>
      <c r="N41" s="201">
        <v>2026</v>
      </c>
      <c r="O41" s="200">
        <f>LOOKUP(N41,'uppdat-hjälpberäkn'!$F$4:$F$94,'uppdat-hjälpberäkn'!$I$4:$I$94)</f>
        <v>0</v>
      </c>
      <c r="P41" s="226" t="e">
        <f t="shared" si="3"/>
        <v>#DIV/0!</v>
      </c>
      <c r="Q41" t="e">
        <f t="shared" si="0"/>
        <v>#N/A</v>
      </c>
      <c r="R41">
        <f t="shared" si="2"/>
      </c>
      <c r="S41" s="189" t="e">
        <f t="shared" si="16"/>
        <v>#DIV/0!</v>
      </c>
    </row>
    <row r="42" spans="14:19" ht="12.75">
      <c r="N42" s="201">
        <v>2027</v>
      </c>
      <c r="O42" s="200">
        <f>LOOKUP(N42,'uppdat-hjälpberäkn'!$F$4:$F$94,'uppdat-hjälpberäkn'!$I$4:$I$94)</f>
        <v>0</v>
      </c>
      <c r="P42" s="226" t="e">
        <f t="shared" si="3"/>
        <v>#DIV/0!</v>
      </c>
      <c r="Q42" t="e">
        <f t="shared" si="0"/>
        <v>#N/A</v>
      </c>
      <c r="R42">
        <f t="shared" si="2"/>
      </c>
      <c r="S42" s="189" t="e">
        <f t="shared" si="16"/>
        <v>#DIV/0!</v>
      </c>
    </row>
    <row r="43" spans="1:19" ht="12.75">
      <c r="A43" s="69" t="s">
        <v>110</v>
      </c>
      <c r="B43" t="s">
        <v>257</v>
      </c>
      <c r="N43" s="201">
        <v>2028</v>
      </c>
      <c r="O43" s="200">
        <f>LOOKUP(N43,'uppdat-hjälpberäkn'!$F$4:$F$94,'uppdat-hjälpberäkn'!$I$4:$I$94)</f>
        <v>0</v>
      </c>
      <c r="P43" s="226" t="e">
        <f t="shared" si="3"/>
        <v>#DIV/0!</v>
      </c>
      <c r="Q43" t="e">
        <f t="shared" si="0"/>
        <v>#N/A</v>
      </c>
      <c r="R43">
        <f t="shared" si="2"/>
      </c>
      <c r="S43" s="189" t="e">
        <f t="shared" si="16"/>
        <v>#DIV/0!</v>
      </c>
    </row>
    <row r="44" spans="1:19" ht="12.75">
      <c r="A44" s="69" t="s">
        <v>111</v>
      </c>
      <c r="B44" t="s">
        <v>565</v>
      </c>
      <c r="N44" s="201">
        <v>2029</v>
      </c>
      <c r="O44" s="200">
        <f>LOOKUP(N44,'uppdat-hjälpberäkn'!$F$4:$F$94,'uppdat-hjälpberäkn'!$I$4:$I$94)</f>
        <v>0</v>
      </c>
      <c r="P44" s="226" t="e">
        <f t="shared" si="3"/>
        <v>#DIV/0!</v>
      </c>
      <c r="Q44" t="e">
        <f t="shared" si="0"/>
        <v>#N/A</v>
      </c>
      <c r="R44">
        <f t="shared" si="2"/>
      </c>
      <c r="S44" s="189" t="e">
        <f t="shared" si="16"/>
        <v>#DIV/0!</v>
      </c>
    </row>
    <row r="45" spans="1:19" ht="12.75">
      <c r="A45" s="69" t="s">
        <v>210</v>
      </c>
      <c r="B45" t="s">
        <v>240</v>
      </c>
      <c r="N45" s="201">
        <v>2030</v>
      </c>
      <c r="O45" s="200">
        <f>LOOKUP(N45,'uppdat-hjälpberäkn'!$F$4:$F$94,'uppdat-hjälpberäkn'!$I$4:$I$94)</f>
        <v>0</v>
      </c>
      <c r="P45" s="226" t="e">
        <f t="shared" si="3"/>
        <v>#DIV/0!</v>
      </c>
      <c r="Q45" t="e">
        <f t="shared" si="0"/>
        <v>#N/A</v>
      </c>
      <c r="R45">
        <f t="shared" si="2"/>
      </c>
      <c r="S45" s="189" t="e">
        <f t="shared" si="16"/>
        <v>#DIV/0!</v>
      </c>
    </row>
    <row r="46" spans="14:19" ht="12.75">
      <c r="N46" s="201">
        <v>2031</v>
      </c>
      <c r="O46" s="200">
        <f>LOOKUP(N46,'uppdat-hjälpberäkn'!$F$4:$F$94,'uppdat-hjälpberäkn'!$I$4:$I$94)</f>
        <v>0</v>
      </c>
      <c r="P46" s="226" t="e">
        <f t="shared" si="3"/>
        <v>#DIV/0!</v>
      </c>
      <c r="Q46" t="e">
        <f t="shared" si="0"/>
        <v>#N/A</v>
      </c>
      <c r="R46">
        <f t="shared" si="2"/>
      </c>
      <c r="S46" s="189" t="e">
        <f t="shared" si="16"/>
        <v>#DIV/0!</v>
      </c>
    </row>
    <row r="47" spans="14:19" ht="12.75">
      <c r="N47" s="201">
        <v>2032</v>
      </c>
      <c r="O47" s="200">
        <f>LOOKUP(N47,'uppdat-hjälpberäkn'!$F$4:$F$94,'uppdat-hjälpberäkn'!$I$4:$I$94)</f>
        <v>0</v>
      </c>
      <c r="P47" s="226" t="e">
        <f t="shared" si="3"/>
        <v>#DIV/0!</v>
      </c>
      <c r="Q47" t="e">
        <f t="shared" si="0"/>
        <v>#N/A</v>
      </c>
      <c r="R47">
        <f t="shared" si="2"/>
      </c>
      <c r="S47" s="189" t="e">
        <f t="shared" si="16"/>
        <v>#DIV/0!</v>
      </c>
    </row>
    <row r="48" spans="14:19" ht="12.75">
      <c r="N48" s="201">
        <v>2033</v>
      </c>
      <c r="O48" s="200">
        <f>LOOKUP(N48,'uppdat-hjälpberäkn'!$F$4:$F$94,'uppdat-hjälpberäkn'!$I$4:$I$94)</f>
        <v>0</v>
      </c>
      <c r="P48" s="226" t="e">
        <f t="shared" si="3"/>
        <v>#DIV/0!</v>
      </c>
      <c r="Q48" t="e">
        <f t="shared" si="0"/>
        <v>#N/A</v>
      </c>
      <c r="R48">
        <f t="shared" si="2"/>
      </c>
      <c r="S48" s="189" t="e">
        <f t="shared" si="16"/>
        <v>#DIV/0!</v>
      </c>
    </row>
    <row r="49" spans="14:19" ht="12.75">
      <c r="N49" s="201">
        <v>2034</v>
      </c>
      <c r="O49" s="200">
        <f>LOOKUP(N49,'uppdat-hjälpberäkn'!$F$4:$F$94,'uppdat-hjälpberäkn'!$I$4:$I$94)</f>
        <v>0</v>
      </c>
      <c r="P49" s="226" t="e">
        <f t="shared" si="3"/>
        <v>#DIV/0!</v>
      </c>
      <c r="Q49" t="e">
        <f t="shared" si="0"/>
        <v>#N/A</v>
      </c>
      <c r="R49">
        <f t="shared" si="2"/>
      </c>
      <c r="S49" s="189" t="e">
        <f t="shared" si="16"/>
        <v>#DIV/0!</v>
      </c>
    </row>
    <row r="50" spans="14:19" ht="12.75">
      <c r="N50" s="201">
        <v>2035</v>
      </c>
      <c r="O50" s="200">
        <f>LOOKUP(N50,'uppdat-hjälpberäkn'!$F$4:$F$94,'uppdat-hjälpberäkn'!$I$4:$I$94)</f>
        <v>0</v>
      </c>
      <c r="P50" s="226" t="e">
        <f t="shared" si="3"/>
        <v>#DIV/0!</v>
      </c>
      <c r="Q50" t="e">
        <f t="shared" si="0"/>
        <v>#N/A</v>
      </c>
      <c r="R50">
        <f t="shared" si="2"/>
      </c>
      <c r="S50" s="189" t="e">
        <f t="shared" si="16"/>
        <v>#DIV/0!</v>
      </c>
    </row>
    <row r="51" spans="14:19" ht="12.75">
      <c r="N51" s="201">
        <v>2036</v>
      </c>
      <c r="O51" s="200">
        <f>LOOKUP(N51,'uppdat-hjälpberäkn'!$F$4:$F$94,'uppdat-hjälpberäkn'!$I$4:$I$94)</f>
        <v>0</v>
      </c>
      <c r="P51" s="226" t="e">
        <f t="shared" si="3"/>
        <v>#DIV/0!</v>
      </c>
      <c r="Q51" t="e">
        <f t="shared" si="0"/>
        <v>#N/A</v>
      </c>
      <c r="R51">
        <f t="shared" si="2"/>
      </c>
      <c r="S51" s="189" t="e">
        <f t="shared" si="16"/>
        <v>#DIV/0!</v>
      </c>
    </row>
    <row r="52" spans="14:19" ht="12.75">
      <c r="N52" s="201">
        <v>2037</v>
      </c>
      <c r="O52" s="200">
        <f>LOOKUP(N52,'uppdat-hjälpberäkn'!$F$4:$F$94,'uppdat-hjälpberäkn'!$I$4:$I$94)</f>
        <v>0</v>
      </c>
      <c r="P52" s="226" t="e">
        <f t="shared" si="3"/>
        <v>#DIV/0!</v>
      </c>
      <c r="Q52" t="e">
        <f t="shared" si="0"/>
        <v>#N/A</v>
      </c>
      <c r="R52">
        <f t="shared" si="2"/>
      </c>
      <c r="S52" s="189" t="e">
        <f t="shared" si="16"/>
        <v>#DIV/0!</v>
      </c>
    </row>
    <row r="53" spans="14:19" ht="12.75">
      <c r="N53" s="201">
        <v>2038</v>
      </c>
      <c r="O53" s="200">
        <f>LOOKUP(N53,'uppdat-hjälpberäkn'!$F$4:$F$94,'uppdat-hjälpberäkn'!$I$4:$I$94)</f>
        <v>0</v>
      </c>
      <c r="P53" s="226" t="e">
        <f t="shared" si="3"/>
        <v>#DIV/0!</v>
      </c>
      <c r="Q53" t="e">
        <f t="shared" si="0"/>
        <v>#N/A</v>
      </c>
      <c r="R53">
        <f t="shared" si="2"/>
      </c>
      <c r="S53" s="189" t="e">
        <f t="shared" si="16"/>
        <v>#DIV/0!</v>
      </c>
    </row>
    <row r="54" spans="14:19" ht="12.75">
      <c r="N54" s="201">
        <v>2039</v>
      </c>
      <c r="O54" s="200">
        <f>LOOKUP(N54,'uppdat-hjälpberäkn'!$F$4:$F$94,'uppdat-hjälpberäkn'!$I$4:$I$94)</f>
        <v>0</v>
      </c>
      <c r="P54" s="226" t="e">
        <f t="shared" si="3"/>
        <v>#DIV/0!</v>
      </c>
      <c r="Q54" t="e">
        <f t="shared" si="0"/>
        <v>#N/A</v>
      </c>
      <c r="R54">
        <f t="shared" si="2"/>
      </c>
      <c r="S54" s="189" t="e">
        <f t="shared" si="16"/>
        <v>#DIV/0!</v>
      </c>
    </row>
    <row r="55" spans="14:19" ht="12.75">
      <c r="N55" s="201">
        <v>2040</v>
      </c>
      <c r="O55" s="200">
        <f>LOOKUP(N55,'uppdat-hjälpberäkn'!$F$4:$F$94,'uppdat-hjälpberäkn'!$I$4:$I$94)</f>
        <v>0</v>
      </c>
      <c r="P55" s="226" t="e">
        <f t="shared" si="3"/>
        <v>#DIV/0!</v>
      </c>
      <c r="Q55" t="e">
        <f t="shared" si="0"/>
        <v>#N/A</v>
      </c>
      <c r="R55">
        <f t="shared" si="2"/>
      </c>
      <c r="S55" s="189" t="e">
        <f t="shared" si="16"/>
        <v>#DIV/0!</v>
      </c>
    </row>
    <row r="56" spans="14:19" ht="12.75">
      <c r="N56" s="201">
        <v>2041</v>
      </c>
      <c r="O56" s="200">
        <f>LOOKUP(N56,'uppdat-hjälpberäkn'!$F$4:$F$94,'uppdat-hjälpberäkn'!$I$4:$I$94)</f>
        <v>0</v>
      </c>
      <c r="P56" s="226" t="e">
        <f t="shared" si="3"/>
        <v>#DIV/0!</v>
      </c>
      <c r="Q56" t="e">
        <f t="shared" si="0"/>
        <v>#N/A</v>
      </c>
      <c r="R56">
        <f t="shared" si="2"/>
      </c>
      <c r="S56" s="189" t="e">
        <f t="shared" si="16"/>
        <v>#DIV/0!</v>
      </c>
    </row>
    <row r="57" spans="14:19" ht="12.75">
      <c r="N57" s="201">
        <v>2042</v>
      </c>
      <c r="O57" s="200">
        <f>LOOKUP(N57,'uppdat-hjälpberäkn'!$F$4:$F$94,'uppdat-hjälpberäkn'!$I$4:$I$94)</f>
        <v>0</v>
      </c>
      <c r="P57" s="226" t="e">
        <f t="shared" si="3"/>
        <v>#DIV/0!</v>
      </c>
      <c r="Q57" t="e">
        <f t="shared" si="0"/>
        <v>#N/A</v>
      </c>
      <c r="R57">
        <f t="shared" si="2"/>
      </c>
      <c r="S57" s="189" t="e">
        <f t="shared" si="16"/>
        <v>#DIV/0!</v>
      </c>
    </row>
    <row r="58" spans="14:19" ht="12.75">
      <c r="N58" s="201">
        <v>2043</v>
      </c>
      <c r="O58" s="200">
        <f>LOOKUP(N58,'uppdat-hjälpberäkn'!$F$4:$F$94,'uppdat-hjälpberäkn'!$I$4:$I$94)</f>
        <v>0</v>
      </c>
      <c r="P58" s="226" t="e">
        <f t="shared" si="3"/>
        <v>#DIV/0!</v>
      </c>
      <c r="Q58" t="e">
        <f t="shared" si="0"/>
        <v>#N/A</v>
      </c>
      <c r="R58">
        <f t="shared" si="2"/>
      </c>
      <c r="S58" s="189" t="e">
        <f t="shared" si="16"/>
        <v>#DIV/0!</v>
      </c>
    </row>
    <row r="59" spans="14:19" ht="12.75">
      <c r="N59" s="201">
        <v>2044</v>
      </c>
      <c r="O59" s="200">
        <f>LOOKUP(N59,'uppdat-hjälpberäkn'!$F$4:$F$94,'uppdat-hjälpberäkn'!$I$4:$I$94)</f>
        <v>0</v>
      </c>
      <c r="P59" s="226" t="e">
        <f t="shared" si="3"/>
        <v>#DIV/0!</v>
      </c>
      <c r="Q59" t="e">
        <f t="shared" si="0"/>
        <v>#N/A</v>
      </c>
      <c r="R59">
        <f t="shared" si="2"/>
      </c>
      <c r="S59" s="189" t="e">
        <f t="shared" si="16"/>
        <v>#DIV/0!</v>
      </c>
    </row>
    <row r="60" spans="14:19" ht="12.75">
      <c r="N60" s="201">
        <v>2045</v>
      </c>
      <c r="O60" s="200">
        <f>LOOKUP(N60,'uppdat-hjälpberäkn'!$F$4:$F$94,'uppdat-hjälpberäkn'!$I$4:$I$94)</f>
        <v>0</v>
      </c>
      <c r="P60" s="226" t="e">
        <f t="shared" si="3"/>
        <v>#DIV/0!</v>
      </c>
      <c r="Q60" t="e">
        <f t="shared" si="0"/>
        <v>#N/A</v>
      </c>
      <c r="R60">
        <f t="shared" si="2"/>
      </c>
      <c r="S60" s="189" t="e">
        <f t="shared" si="16"/>
        <v>#DIV/0!</v>
      </c>
    </row>
    <row r="61" spans="14:19" ht="12.75">
      <c r="N61" s="201">
        <v>2046</v>
      </c>
      <c r="O61" s="200">
        <f>LOOKUP(N61,'uppdat-hjälpberäkn'!$F$4:$F$94,'uppdat-hjälpberäkn'!$I$4:$I$94)</f>
        <v>0</v>
      </c>
      <c r="P61" s="226" t="e">
        <f t="shared" si="3"/>
        <v>#DIV/0!</v>
      </c>
      <c r="Q61" t="e">
        <f t="shared" si="0"/>
        <v>#N/A</v>
      </c>
      <c r="R61">
        <f t="shared" si="2"/>
      </c>
      <c r="S61" s="189" t="e">
        <f t="shared" si="16"/>
        <v>#DIV/0!</v>
      </c>
    </row>
    <row r="62" spans="14:19" ht="12.75">
      <c r="N62" s="201">
        <v>2047</v>
      </c>
      <c r="O62" s="200">
        <f>LOOKUP(N62,'uppdat-hjälpberäkn'!$F$4:$F$94,'uppdat-hjälpberäkn'!$I$4:$I$94)</f>
        <v>0</v>
      </c>
      <c r="P62" s="226" t="e">
        <f t="shared" si="3"/>
        <v>#DIV/0!</v>
      </c>
      <c r="Q62" t="e">
        <f t="shared" si="0"/>
        <v>#N/A</v>
      </c>
      <c r="R62">
        <f t="shared" si="2"/>
      </c>
      <c r="S62" s="189" t="e">
        <f t="shared" si="16"/>
        <v>#DIV/0!</v>
      </c>
    </row>
    <row r="63" spans="14:19" ht="12.75">
      <c r="N63" s="201">
        <v>2048</v>
      </c>
      <c r="O63" s="200">
        <f>LOOKUP(N63,'uppdat-hjälpberäkn'!$F$4:$F$94,'uppdat-hjälpberäkn'!$I$4:$I$94)</f>
        <v>0</v>
      </c>
      <c r="P63" s="226" t="e">
        <f t="shared" si="3"/>
        <v>#DIV/0!</v>
      </c>
      <c r="Q63" t="e">
        <f t="shared" si="0"/>
        <v>#N/A</v>
      </c>
      <c r="R63">
        <f t="shared" si="2"/>
      </c>
      <c r="S63" s="189" t="e">
        <f t="shared" si="16"/>
        <v>#DIV/0!</v>
      </c>
    </row>
    <row r="64" spans="14:19" ht="12.75">
      <c r="N64" s="201">
        <v>2049</v>
      </c>
      <c r="O64" s="200">
        <f>LOOKUP(N64,'uppdat-hjälpberäkn'!$F$4:$F$94,'uppdat-hjälpberäkn'!$I$4:$I$94)</f>
        <v>0</v>
      </c>
      <c r="P64" s="226" t="e">
        <f t="shared" si="3"/>
        <v>#DIV/0!</v>
      </c>
      <c r="Q64" t="e">
        <f t="shared" si="0"/>
        <v>#N/A</v>
      </c>
      <c r="R64">
        <f t="shared" si="2"/>
      </c>
      <c r="S64" s="189" t="e">
        <f t="shared" si="16"/>
        <v>#DIV/0!</v>
      </c>
    </row>
    <row r="65" spans="14:19" ht="12.75">
      <c r="N65" s="201">
        <v>2050</v>
      </c>
      <c r="O65" s="200">
        <f>LOOKUP(N65,'uppdat-hjälpberäkn'!$F$4:$F$94,'uppdat-hjälpberäkn'!$I$4:$I$94)</f>
        <v>0</v>
      </c>
      <c r="P65" s="226" t="e">
        <f t="shared" si="3"/>
        <v>#DIV/0!</v>
      </c>
      <c r="Q65" t="e">
        <f t="shared" si="0"/>
        <v>#N/A</v>
      </c>
      <c r="R65">
        <f t="shared" si="2"/>
      </c>
      <c r="S65" s="189" t="e">
        <f t="shared" si="16"/>
        <v>#DIV/0!</v>
      </c>
    </row>
  </sheetData>
  <sheetProtection password="C248" sheet="1"/>
  <conditionalFormatting sqref="G5:G6">
    <cfRule type="expression" priority="1" dxfId="29" stopIfTrue="1">
      <formula>C5&gt;=2003</formula>
    </cfRule>
  </conditionalFormatting>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Z93"/>
  <sheetViews>
    <sheetView zoomScalePageLayoutView="0" workbookViewId="0" topLeftCell="A1">
      <selection activeCell="N20" sqref="N20"/>
    </sheetView>
  </sheetViews>
  <sheetFormatPr defaultColWidth="9.140625" defaultRowHeight="12.75"/>
  <cols>
    <col min="1" max="1" width="7.57421875" style="299" customWidth="1"/>
    <col min="2" max="2" width="6.140625" style="299" customWidth="1"/>
    <col min="3" max="3" width="6.8515625" style="299" customWidth="1"/>
    <col min="4" max="4" width="6.421875" style="299" customWidth="1"/>
    <col min="5" max="6" width="7.57421875" style="299" customWidth="1"/>
    <col min="7" max="7" width="8.421875" style="299" customWidth="1"/>
    <col min="8" max="8" width="6.8515625" style="299" customWidth="1"/>
    <col min="9" max="10" width="7.421875" style="299" customWidth="1"/>
    <col min="11" max="11" width="7.8515625" style="299" customWidth="1"/>
    <col min="12" max="12" width="9.140625" style="419" customWidth="1"/>
    <col min="13" max="16" width="9.140625" style="299" customWidth="1"/>
    <col min="17" max="17" width="6.57421875" style="299" customWidth="1"/>
    <col min="18" max="18" width="5.421875" style="299" customWidth="1"/>
    <col min="19" max="19" width="7.8515625" style="299" customWidth="1"/>
    <col min="20" max="20" width="5.421875" style="389" customWidth="1"/>
    <col min="21" max="21" width="5.57421875" style="389" customWidth="1"/>
    <col min="22" max="23" width="7.421875" style="389" customWidth="1"/>
    <col min="24" max="24" width="7.57421875" style="299" customWidth="1"/>
    <col min="25" max="25" width="7.421875" style="299" customWidth="1"/>
    <col min="26" max="16384" width="9.140625" style="299" customWidth="1"/>
  </cols>
  <sheetData>
    <row r="1" spans="1:26" ht="12.75">
      <c r="A1" s="367" t="s">
        <v>367</v>
      </c>
      <c r="B1" s="367" t="s">
        <v>94</v>
      </c>
      <c r="C1" s="367" t="s">
        <v>151</v>
      </c>
      <c r="D1" s="367" t="s">
        <v>95</v>
      </c>
      <c r="E1" s="367" t="s">
        <v>163</v>
      </c>
      <c r="F1" s="298"/>
      <c r="G1" s="15"/>
      <c r="H1" s="298"/>
      <c r="I1" s="298"/>
      <c r="J1" s="418"/>
      <c r="K1" s="418"/>
      <c r="M1" s="298" t="s">
        <v>368</v>
      </c>
      <c r="N1" s="298" t="s">
        <v>368</v>
      </c>
      <c r="O1" s="298"/>
      <c r="P1" s="298" t="s">
        <v>368</v>
      </c>
      <c r="Q1" s="298" t="s">
        <v>368</v>
      </c>
      <c r="T1" s="420"/>
      <c r="U1" s="420" t="s">
        <v>369</v>
      </c>
      <c r="V1" s="420" t="s">
        <v>370</v>
      </c>
      <c r="W1" s="420" t="s">
        <v>368</v>
      </c>
      <c r="X1" s="421" t="s">
        <v>126</v>
      </c>
      <c r="Y1" s="421" t="s">
        <v>371</v>
      </c>
      <c r="Z1" s="421" t="s">
        <v>372</v>
      </c>
    </row>
    <row r="2" spans="1:26" ht="12.75">
      <c r="A2" s="445">
        <f>IF(FAKTA!P3="","",FAKTA!P3)</f>
      </c>
      <c r="B2" s="446">
        <f>IF(FAKTA!Q3="","",FAKTA!Q3)</f>
      </c>
      <c r="C2" s="446">
        <f>IF(FAKTA!R3="","",FAKTA!R3)</f>
      </c>
      <c r="D2" s="422">
        <f>SUM(B2:C2)</f>
        <v>0</v>
      </c>
      <c r="E2" s="447">
        <f>IF(FAKTA!T3="","",FAKTA!T3)</f>
      </c>
      <c r="F2" s="298"/>
      <c r="G2" s="15"/>
      <c r="H2" s="298"/>
      <c r="I2" s="15" t="s">
        <v>373</v>
      </c>
      <c r="J2" s="418"/>
      <c r="K2" s="449">
        <f>SUM(FAKTA!K3)</f>
        <v>0</v>
      </c>
      <c r="M2" s="418" t="s">
        <v>374</v>
      </c>
      <c r="N2" s="298" t="s">
        <v>375</v>
      </c>
      <c r="O2" s="298" t="s">
        <v>1</v>
      </c>
      <c r="P2" s="298" t="s">
        <v>151</v>
      </c>
      <c r="Q2" s="298" t="s">
        <v>95</v>
      </c>
      <c r="T2" s="420" t="s">
        <v>376</v>
      </c>
      <c r="U2" s="420" t="s">
        <v>61</v>
      </c>
      <c r="V2" s="420" t="s">
        <v>377</v>
      </c>
      <c r="W2" s="420" t="s">
        <v>86</v>
      </c>
      <c r="X2" s="421" t="s">
        <v>378</v>
      </c>
      <c r="Y2" s="421" t="s">
        <v>172</v>
      </c>
      <c r="Z2" s="421" t="s">
        <v>98</v>
      </c>
    </row>
    <row r="3" spans="1:26" ht="12.75">
      <c r="A3" s="445">
        <f>IF(FAKTA!P4="","",FAKTA!P4)</f>
      </c>
      <c r="B3" s="446">
        <f>IF(FAKTA!Q4="","",FAKTA!Q4)</f>
      </c>
      <c r="C3" s="446">
        <f>IF(FAKTA!R4="","",FAKTA!R4)</f>
      </c>
      <c r="D3" s="422">
        <f>SUM(B3:C3)</f>
        <v>0</v>
      </c>
      <c r="E3" s="447">
        <f>IF(FAKTA!T4="","",FAKTA!T4)</f>
      </c>
      <c r="F3" s="15" t="s">
        <v>379</v>
      </c>
      <c r="G3" s="448">
        <f>SUM(FAKTA!S7)</f>
        <v>0</v>
      </c>
      <c r="H3" s="15"/>
      <c r="I3" s="15" t="s">
        <v>380</v>
      </c>
      <c r="J3" s="423"/>
      <c r="K3" s="449">
        <f>SUM(FAKTA!N7)</f>
        <v>0</v>
      </c>
      <c r="L3" s="279"/>
      <c r="M3" s="424" t="str">
        <f>IF(B2=D2,"lika","olika")</f>
        <v>olika</v>
      </c>
      <c r="N3" s="425">
        <f>IF(A2="","","lika")</f>
      </c>
      <c r="O3" s="425">
        <f>IF(C2&gt;0,A2,"")</f>
      </c>
      <c r="P3" s="422">
        <f>IF(O3&gt;0,C2,"")</f>
      </c>
      <c r="Q3" s="298"/>
      <c r="T3" s="420">
        <v>1960</v>
      </c>
      <c r="U3" s="426">
        <v>4200</v>
      </c>
      <c r="V3" s="427">
        <v>4200</v>
      </c>
      <c r="W3" s="420"/>
      <c r="X3" s="428" t="e">
        <f>LOOKUP(T3,$A$2:$A$4,$E$2:$E$4)</f>
        <v>#N/A</v>
      </c>
      <c r="Y3" s="428">
        <f>IF(ISERROR(X3),"",X3)</f>
      </c>
      <c r="Z3" s="429">
        <f>IF(OR(Y3=0,Y3="",W3=""),"",IF(Y3=Y2,Z2*W3,Y3))</f>
      </c>
    </row>
    <row r="4" spans="1:26" ht="12.75">
      <c r="A4" s="445">
        <f>IF(FAKTA!P5="","",FAKTA!P5)</f>
      </c>
      <c r="B4" s="446">
        <f>IF(FAKTA!Q5="","",FAKTA!Q5)</f>
      </c>
      <c r="C4" s="446">
        <f>IF(FAKTA!R5="","",FAKTA!R5)</f>
      </c>
      <c r="D4" s="422">
        <f>SUM(B4:C4)</f>
        <v>0</v>
      </c>
      <c r="E4" s="447">
        <f>IF(FAKTA!T5="","",FAKTA!T5)</f>
      </c>
      <c r="F4" s="15" t="s">
        <v>381</v>
      </c>
      <c r="G4" s="448">
        <f>SUM(FAKTA!Q7)</f>
        <v>0</v>
      </c>
      <c r="H4" s="298"/>
      <c r="I4" s="15" t="s">
        <v>244</v>
      </c>
      <c r="J4" s="298"/>
      <c r="K4" s="449">
        <f>SUM(FAKTA!K7)</f>
        <v>0</v>
      </c>
      <c r="L4" s="279"/>
      <c r="M4" s="424" t="str">
        <f>IF(B3=D3,"lika","olika")</f>
        <v>olika</v>
      </c>
      <c r="N4" s="425">
        <f>IF(A3="","",IF(C3=C2,"lika","olika"))</f>
      </c>
      <c r="O4" s="425">
        <f>IF(C3&gt;0,A3,"")</f>
      </c>
      <c r="P4" s="422">
        <f>IF(O4&gt;0,C3,"")</f>
      </c>
      <c r="Q4" s="298"/>
      <c r="T4" s="420">
        <v>1961</v>
      </c>
      <c r="U4" s="426">
        <v>4300</v>
      </c>
      <c r="V4" s="427">
        <v>4300</v>
      </c>
      <c r="W4" s="430">
        <f>IF(U4="","",U4/U3)</f>
        <v>1.0238095238095237</v>
      </c>
      <c r="X4" s="428" t="e">
        <f aca="true" t="shared" si="0" ref="X4:X67">LOOKUP(T4,$A$2:$A$4,$E$2:$E$4)</f>
        <v>#N/A</v>
      </c>
      <c r="Y4" s="428">
        <f aca="true" t="shared" si="1" ref="Y4:Y67">IF(ISERROR(X4),"",X4)</f>
      </c>
      <c r="Z4" s="429">
        <f aca="true" t="shared" si="2" ref="Z4:Z67">IF(OR(Y4=0,Y4="",W4=""),"",IF(Y4=Y3,Z3*W4,Y4))</f>
      </c>
    </row>
    <row r="5" spans="1:26" ht="12.75">
      <c r="A5" s="298"/>
      <c r="B5" s="298"/>
      <c r="C5" s="300" t="s">
        <v>382</v>
      </c>
      <c r="D5" s="298"/>
      <c r="E5" s="298"/>
      <c r="F5" s="298"/>
      <c r="G5" s="298"/>
      <c r="H5" s="298"/>
      <c r="I5" s="298"/>
      <c r="J5" s="298"/>
      <c r="K5" s="298"/>
      <c r="L5" s="279"/>
      <c r="M5" s="424" t="str">
        <f>IF(B4=D4,"lika","olika")</f>
        <v>olika</v>
      </c>
      <c r="N5" s="425">
        <f>IF(A4="","",IF(C4=C3,"lika","olika"))</f>
      </c>
      <c r="O5" s="425">
        <f>IF(C4&gt;0,A4,"")</f>
      </c>
      <c r="P5" s="422">
        <f>IF(O5&gt;0,C4,"")</f>
      </c>
      <c r="Q5" s="298"/>
      <c r="T5" s="420">
        <v>1962</v>
      </c>
      <c r="U5" s="426">
        <v>4500</v>
      </c>
      <c r="V5" s="427">
        <v>4500</v>
      </c>
      <c r="W5" s="430">
        <f aca="true" t="shared" si="3" ref="W5:W68">IF(U5="","",U5/U4)</f>
        <v>1.0465116279069768</v>
      </c>
      <c r="X5" s="428" t="e">
        <f t="shared" si="0"/>
        <v>#N/A</v>
      </c>
      <c r="Y5" s="428">
        <f t="shared" si="1"/>
      </c>
      <c r="Z5" s="429">
        <f t="shared" si="2"/>
      </c>
    </row>
    <row r="6" spans="1:26" ht="12.75">
      <c r="A6" s="367" t="s">
        <v>383</v>
      </c>
      <c r="B6" s="298"/>
      <c r="C6" s="298" t="s">
        <v>384</v>
      </c>
      <c r="D6" s="298"/>
      <c r="E6" s="298"/>
      <c r="F6" s="298"/>
      <c r="G6" s="298"/>
      <c r="H6" s="298"/>
      <c r="I6" s="298"/>
      <c r="J6" s="298"/>
      <c r="K6" s="298"/>
      <c r="L6" s="279"/>
      <c r="M6" s="299" t="s">
        <v>385</v>
      </c>
      <c r="P6" s="299" t="s">
        <v>386</v>
      </c>
      <c r="T6" s="420">
        <v>1963</v>
      </c>
      <c r="U6" s="426">
        <v>4700</v>
      </c>
      <c r="V6" s="427">
        <v>4700</v>
      </c>
      <c r="W6" s="430">
        <f t="shared" si="3"/>
        <v>1.0444444444444445</v>
      </c>
      <c r="X6" s="428" t="e">
        <f t="shared" si="0"/>
        <v>#N/A</v>
      </c>
      <c r="Y6" s="428">
        <f t="shared" si="1"/>
      </c>
      <c r="Z6" s="429">
        <f t="shared" si="2"/>
      </c>
    </row>
    <row r="7" spans="1:26" ht="12.75">
      <c r="A7" s="298"/>
      <c r="B7" s="298"/>
      <c r="C7" s="298" t="s">
        <v>387</v>
      </c>
      <c r="D7" s="298"/>
      <c r="E7" s="298"/>
      <c r="F7" s="298"/>
      <c r="G7" s="298"/>
      <c r="H7" s="298"/>
      <c r="I7" s="298"/>
      <c r="J7" s="298"/>
      <c r="K7" s="431" t="s">
        <v>388</v>
      </c>
      <c r="M7" s="432" t="s">
        <v>95</v>
      </c>
      <c r="N7" s="299" t="s">
        <v>151</v>
      </c>
      <c r="O7" s="432"/>
      <c r="P7" s="432" t="s">
        <v>389</v>
      </c>
      <c r="Q7" s="432" t="s">
        <v>389</v>
      </c>
      <c r="R7" s="432" t="s">
        <v>390</v>
      </c>
      <c r="S7" s="432" t="s">
        <v>390</v>
      </c>
      <c r="T7" s="420">
        <v>1964</v>
      </c>
      <c r="U7" s="426">
        <v>4800</v>
      </c>
      <c r="V7" s="427">
        <v>4800</v>
      </c>
      <c r="W7" s="430">
        <f t="shared" si="3"/>
        <v>1.0212765957446808</v>
      </c>
      <c r="X7" s="428" t="e">
        <f t="shared" si="0"/>
        <v>#N/A</v>
      </c>
      <c r="Y7" s="428">
        <f t="shared" si="1"/>
      </c>
      <c r="Z7" s="429">
        <f t="shared" si="2"/>
      </c>
    </row>
    <row r="8" spans="1:26" ht="12.75">
      <c r="A8" s="298" t="s">
        <v>367</v>
      </c>
      <c r="B8" s="367" t="s">
        <v>151</v>
      </c>
      <c r="C8" s="367" t="s">
        <v>95</v>
      </c>
      <c r="D8" s="433" t="s">
        <v>391</v>
      </c>
      <c r="E8" s="434" t="s">
        <v>392</v>
      </c>
      <c r="F8" s="433" t="s">
        <v>86</v>
      </c>
      <c r="G8" s="433" t="s">
        <v>163</v>
      </c>
      <c r="H8" s="433" t="s">
        <v>110</v>
      </c>
      <c r="I8" s="433" t="s">
        <v>210</v>
      </c>
      <c r="J8" s="433" t="s">
        <v>111</v>
      </c>
      <c r="K8" s="435" t="s">
        <v>61</v>
      </c>
      <c r="N8" s="299" t="s">
        <v>172</v>
      </c>
      <c r="O8" s="432" t="s">
        <v>389</v>
      </c>
      <c r="P8" s="432" t="s">
        <v>151</v>
      </c>
      <c r="Q8" s="432" t="s">
        <v>95</v>
      </c>
      <c r="R8" s="432" t="s">
        <v>393</v>
      </c>
      <c r="S8" s="432" t="s">
        <v>394</v>
      </c>
      <c r="T8" s="420">
        <v>1965</v>
      </c>
      <c r="U8" s="426">
        <v>5000</v>
      </c>
      <c r="V8" s="427">
        <v>5000</v>
      </c>
      <c r="W8" s="430">
        <f t="shared" si="3"/>
        <v>1.0416666666666667</v>
      </c>
      <c r="X8" s="428" t="e">
        <f t="shared" si="0"/>
        <v>#N/A</v>
      </c>
      <c r="Y8" s="428">
        <f t="shared" si="1"/>
      </c>
      <c r="Z8" s="429">
        <f t="shared" si="2"/>
      </c>
    </row>
    <row r="9" spans="1:26" ht="12.75">
      <c r="A9" s="443">
        <f>SUM(K2)</f>
        <v>0</v>
      </c>
      <c r="B9" s="444">
        <f>IF(ISERROR(N9),"",N9)</f>
      </c>
      <c r="C9" s="444">
        <f aca="true" t="shared" si="4" ref="C9:C43">IF(ISERROR(M9),"",M9)</f>
      </c>
      <c r="D9" s="24">
        <f>IF(C9="","",IF(OR(A9=0,A9=""),"",LOOKUP(A9,$O$9:$O$61,$S$9:$S$61)))</f>
      </c>
      <c r="E9" s="170">
        <f aca="true" t="shared" si="5" ref="E9:E43">IF(D9="A",LOOKUP(A9,$T$3:$T$61,$V$3:$V$61),"")</f>
      </c>
      <c r="F9" s="170">
        <f aca="true" t="shared" si="6" ref="F9:F43">IF(D9="C",LOOKUP(A9,$T$3:$T$61,$U$3:$U$61),"")</f>
      </c>
      <c r="G9" s="170">
        <f>IF(D9="B",LOOKUP(A9,$T$3:$T$93,$Z$3:$Z$93),"")</f>
      </c>
      <c r="H9" s="170">
        <f>IF(B9="","",IF(D9="A",(($G$3+1)*E9*B9/0.93*$K$4/30),""))</f>
      </c>
      <c r="I9" s="170">
        <f>IF(B9="","",IF(D9="C",SUM(($G$4+1)*F9*B9*$K$4/30),""))</f>
      </c>
      <c r="J9" s="170">
        <f>IF(B9="","",IF(D9="B",SUM(G9/IF(A9&gt;2015,0.647,0.64)*B9/C9),""))</f>
      </c>
      <c r="K9" s="436">
        <f aca="true" t="shared" si="7" ref="K9:K43">SUM(H9:J9)</f>
        <v>0</v>
      </c>
      <c r="L9" s="437"/>
      <c r="M9" s="438">
        <f>IF(OR(A9=0,A9=""),"",LOOKUP(A9,$O$9:O61,$Q$9:Q61))</f>
      </c>
      <c r="N9" s="438">
        <f>IF(OR(A9=0,A9=""),"",LOOKUP(A9,$O$9:$O$61,$P$9:$P$61))</f>
      </c>
      <c r="O9" s="367">
        <f>IF(O3="","",SMALL(O3:O5,1))</f>
      </c>
      <c r="P9" s="439">
        <f>IF(O9="","",IF(LOOKUP(O9,$A$2:$A$4,$M$3:$M$5)="LIKA","",LOOKUP(O9,$O$3:$O$5,$P$3:$P$5)))</f>
      </c>
      <c r="Q9" s="440">
        <f>IF(O9="","",LOOKUP(O9,$A$2:$A$4,$D$2:$D$4))</f>
      </c>
      <c r="R9" s="432">
        <f>IF(O9="","",IF(O9&lt;2003,"A","B"))</f>
      </c>
      <c r="S9" s="432">
        <f>IF(R9="B","B",IF(R9="","",IF(AND(R9="A",O9&gt;=2003),"C","A")))</f>
      </c>
      <c r="T9" s="420">
        <v>1966</v>
      </c>
      <c r="U9" s="426">
        <v>5300</v>
      </c>
      <c r="V9" s="427">
        <v>5300</v>
      </c>
      <c r="W9" s="430">
        <f t="shared" si="3"/>
        <v>1.06</v>
      </c>
      <c r="X9" s="428" t="e">
        <f t="shared" si="0"/>
        <v>#N/A</v>
      </c>
      <c r="Y9" s="428">
        <f t="shared" si="1"/>
      </c>
      <c r="Z9" s="429">
        <f t="shared" si="2"/>
      </c>
    </row>
    <row r="10" spans="1:26" ht="12.75">
      <c r="A10" s="443">
        <f aca="true" t="shared" si="8" ref="A10:A43">IF($K$3&gt;A9,A9+1,"")</f>
      </c>
      <c r="B10" s="444">
        <f aca="true" t="shared" si="9" ref="B10:B43">IF(ISERROR(N10),"",N10)</f>
      </c>
      <c r="C10" s="444">
        <f t="shared" si="4"/>
      </c>
      <c r="D10" s="24">
        <f aca="true" t="shared" si="10" ref="D10:D43">IF(C10="","",IF(OR(A10=0,A10=""),"",LOOKUP(A10,$O$9:$O$61,$S$9:$S$61)))</f>
      </c>
      <c r="E10" s="170">
        <f t="shared" si="5"/>
      </c>
      <c r="F10" s="170">
        <f t="shared" si="6"/>
      </c>
      <c r="G10" s="170">
        <f>IF(D10="B",LOOKUP(A10,$T$3:$T$93,$Z$3:$Z$93),"")</f>
      </c>
      <c r="H10" s="170">
        <f aca="true" t="shared" si="11" ref="H10:H44">IF(B10="","",IF(D10="A",(($G$3+1)*E10*B10/0.93*$K$4/30),""))</f>
      </c>
      <c r="I10" s="170">
        <f aca="true" t="shared" si="12" ref="I10:I43">IF(B10="","",IF(D10="C",SUM(($G$4+1)*F10*B10*$K$4/30),""))</f>
      </c>
      <c r="J10" s="170">
        <f>IF(B10="","",IF(D10="B",SUM(G10/IF(A10&gt;2015,0.647,0.64)*B10/C10),""))</f>
      </c>
      <c r="K10" s="436">
        <f t="shared" si="7"/>
        <v>0</v>
      </c>
      <c r="L10" s="437"/>
      <c r="M10" s="438">
        <f>IF(A10="","",LOOKUP(A10,$O$9:O62,$Q$9:Q62))</f>
      </c>
      <c r="N10" s="438">
        <f aca="true" t="shared" si="13" ref="N10:N43">IF(A10="","",LOOKUP(A10,$O$9:$O$61,$P$9:$P$61))</f>
      </c>
      <c r="O10" s="367">
        <f aca="true" t="shared" si="14" ref="O10:O61">IF(O9="","",MIN(O9+1,$K$3))</f>
      </c>
      <c r="P10" s="439">
        <f aca="true" t="shared" si="15" ref="P10:P61">IF(O10="","",IF(LOOKUP(O10,$A$2:$A$4,$M$3:$M$5)="LIKA","",LOOKUP(O10,$O$3:$O$5,$P$3:$P$5)))</f>
      </c>
      <c r="Q10" s="440">
        <f aca="true" t="shared" si="16" ref="Q10:Q61">IF(O10="","",LOOKUP(O10,$A$2:$A$4,$D$2:$D$4))</f>
      </c>
      <c r="R10" s="432">
        <f>IF(Q10="","",IF(R9="B","B",IF(OR(Q10=Q9,O10&lt;2003),"A","B")))</f>
      </c>
      <c r="S10" s="432">
        <f aca="true" t="shared" si="17" ref="S10:S61">IF(R10="B","B",IF(R10="","",IF(AND(R10="A",O10&gt;=2003),"C","A")))</f>
      </c>
      <c r="T10" s="420">
        <v>1967</v>
      </c>
      <c r="U10" s="426">
        <v>5500</v>
      </c>
      <c r="V10" s="427">
        <v>5500</v>
      </c>
      <c r="W10" s="430">
        <f t="shared" si="3"/>
        <v>1.0377358490566038</v>
      </c>
      <c r="X10" s="428" t="e">
        <f t="shared" si="0"/>
        <v>#N/A</v>
      </c>
      <c r="Y10" s="428">
        <f t="shared" si="1"/>
      </c>
      <c r="Z10" s="429">
        <f t="shared" si="2"/>
      </c>
    </row>
    <row r="11" spans="1:26" ht="12.75">
      <c r="A11" s="443">
        <f t="shared" si="8"/>
      </c>
      <c r="B11" s="444">
        <f t="shared" si="9"/>
      </c>
      <c r="C11" s="444">
        <f t="shared" si="4"/>
      </c>
      <c r="D11" s="24">
        <f t="shared" si="10"/>
      </c>
      <c r="E11" s="170">
        <f t="shared" si="5"/>
      </c>
      <c r="F11" s="170">
        <f t="shared" si="6"/>
      </c>
      <c r="G11" s="170">
        <f aca="true" t="shared" si="18" ref="G11:G43">IF(D11="B",LOOKUP(A11,$T$3:$T$93,$Z$3:$Z$93),"")</f>
      </c>
      <c r="H11" s="170">
        <f t="shared" si="11"/>
      </c>
      <c r="I11" s="170">
        <f t="shared" si="12"/>
      </c>
      <c r="J11" s="170">
        <f aca="true" t="shared" si="19" ref="J11:J43">IF(B11="","",IF(D11="B",SUM(G11/IF(A11&gt;2015,0.647,0.64)*B11/C11),""))</f>
      </c>
      <c r="K11" s="436">
        <f t="shared" si="7"/>
        <v>0</v>
      </c>
      <c r="L11" s="437"/>
      <c r="M11" s="438">
        <f>IF(A11="","",LOOKUP(A11,$O$9:O63,$Q$9:Q63))</f>
      </c>
      <c r="N11" s="438">
        <f t="shared" si="13"/>
      </c>
      <c r="O11" s="367">
        <f t="shared" si="14"/>
      </c>
      <c r="P11" s="439">
        <f t="shared" si="15"/>
      </c>
      <c r="Q11" s="440">
        <f t="shared" si="16"/>
      </c>
      <c r="R11" s="432">
        <f aca="true" t="shared" si="20" ref="R11:R61">IF(Q11="","",IF(R10="B","B",IF(OR(Q11=Q10,O11&lt;2003),"A","B")))</f>
      </c>
      <c r="S11" s="432">
        <f t="shared" si="17"/>
      </c>
      <c r="T11" s="420">
        <v>1968</v>
      </c>
      <c r="U11" s="426">
        <v>5700</v>
      </c>
      <c r="V11" s="427">
        <v>5700</v>
      </c>
      <c r="W11" s="430">
        <f t="shared" si="3"/>
        <v>1.0363636363636364</v>
      </c>
      <c r="X11" s="428" t="e">
        <f t="shared" si="0"/>
        <v>#N/A</v>
      </c>
      <c r="Y11" s="428">
        <f t="shared" si="1"/>
      </c>
      <c r="Z11" s="429">
        <f t="shared" si="2"/>
      </c>
    </row>
    <row r="12" spans="1:26" ht="12.75">
      <c r="A12" s="443">
        <f t="shared" si="8"/>
      </c>
      <c r="B12" s="444">
        <f t="shared" si="9"/>
      </c>
      <c r="C12" s="444">
        <f t="shared" si="4"/>
      </c>
      <c r="D12" s="24">
        <f t="shared" si="10"/>
      </c>
      <c r="E12" s="170">
        <f t="shared" si="5"/>
      </c>
      <c r="F12" s="170">
        <f t="shared" si="6"/>
      </c>
      <c r="G12" s="170">
        <f t="shared" si="18"/>
      </c>
      <c r="H12" s="170">
        <f t="shared" si="11"/>
      </c>
      <c r="I12" s="170">
        <f t="shared" si="12"/>
      </c>
      <c r="J12" s="170">
        <f t="shared" si="19"/>
      </c>
      <c r="K12" s="436">
        <f t="shared" si="7"/>
        <v>0</v>
      </c>
      <c r="L12" s="437"/>
      <c r="M12" s="438">
        <f>IF(A12="","",LOOKUP(A12,$O$9:O64,$Q$9:Q64))</f>
      </c>
      <c r="N12" s="438">
        <f t="shared" si="13"/>
      </c>
      <c r="O12" s="367">
        <f t="shared" si="14"/>
      </c>
      <c r="P12" s="439">
        <f t="shared" si="15"/>
      </c>
      <c r="Q12" s="440">
        <f t="shared" si="16"/>
      </c>
      <c r="R12" s="432">
        <f t="shared" si="20"/>
      </c>
      <c r="S12" s="432">
        <f t="shared" si="17"/>
      </c>
      <c r="T12" s="420">
        <v>1969</v>
      </c>
      <c r="U12" s="426">
        <v>5800</v>
      </c>
      <c r="V12" s="427">
        <v>5800</v>
      </c>
      <c r="W12" s="430">
        <f t="shared" si="3"/>
        <v>1.0175438596491229</v>
      </c>
      <c r="X12" s="428" t="e">
        <f t="shared" si="0"/>
        <v>#N/A</v>
      </c>
      <c r="Y12" s="428">
        <f t="shared" si="1"/>
      </c>
      <c r="Z12" s="429">
        <f t="shared" si="2"/>
      </c>
    </row>
    <row r="13" spans="1:26" ht="12.75">
      <c r="A13" s="443">
        <f t="shared" si="8"/>
      </c>
      <c r="B13" s="444">
        <f t="shared" si="9"/>
      </c>
      <c r="C13" s="444">
        <f t="shared" si="4"/>
      </c>
      <c r="D13" s="24">
        <f t="shared" si="10"/>
      </c>
      <c r="E13" s="170">
        <f t="shared" si="5"/>
      </c>
      <c r="F13" s="170">
        <f t="shared" si="6"/>
      </c>
      <c r="G13" s="170">
        <f t="shared" si="18"/>
      </c>
      <c r="H13" s="170">
        <f t="shared" si="11"/>
      </c>
      <c r="I13" s="170">
        <f t="shared" si="12"/>
      </c>
      <c r="J13" s="170">
        <f t="shared" si="19"/>
      </c>
      <c r="K13" s="436">
        <f t="shared" si="7"/>
        <v>0</v>
      </c>
      <c r="L13" s="437"/>
      <c r="M13" s="438">
        <f>IF(A13="","",LOOKUP(A13,$O$9:O65,$Q$9:Q65))</f>
      </c>
      <c r="N13" s="438">
        <f t="shared" si="13"/>
      </c>
      <c r="O13" s="367">
        <f t="shared" si="14"/>
      </c>
      <c r="P13" s="439">
        <f t="shared" si="15"/>
      </c>
      <c r="Q13" s="440">
        <f t="shared" si="16"/>
      </c>
      <c r="R13" s="432">
        <f t="shared" si="20"/>
      </c>
      <c r="S13" s="432">
        <f t="shared" si="17"/>
      </c>
      <c r="T13" s="420">
        <v>1970</v>
      </c>
      <c r="U13" s="426">
        <v>6000</v>
      </c>
      <c r="V13" s="427">
        <v>6000</v>
      </c>
      <c r="W13" s="430">
        <f t="shared" si="3"/>
        <v>1.0344827586206897</v>
      </c>
      <c r="X13" s="428" t="e">
        <f t="shared" si="0"/>
        <v>#N/A</v>
      </c>
      <c r="Y13" s="428">
        <f t="shared" si="1"/>
      </c>
      <c r="Z13" s="429">
        <f t="shared" si="2"/>
      </c>
    </row>
    <row r="14" spans="1:26" ht="12.75">
      <c r="A14" s="443">
        <f t="shared" si="8"/>
      </c>
      <c r="B14" s="444">
        <f t="shared" si="9"/>
      </c>
      <c r="C14" s="444">
        <f t="shared" si="4"/>
      </c>
      <c r="D14" s="24">
        <f t="shared" si="10"/>
      </c>
      <c r="E14" s="170">
        <f t="shared" si="5"/>
      </c>
      <c r="F14" s="170">
        <f t="shared" si="6"/>
      </c>
      <c r="G14" s="170">
        <f t="shared" si="18"/>
      </c>
      <c r="H14" s="170">
        <f t="shared" si="11"/>
      </c>
      <c r="I14" s="170">
        <f t="shared" si="12"/>
      </c>
      <c r="J14" s="170">
        <f t="shared" si="19"/>
      </c>
      <c r="K14" s="436">
        <f t="shared" si="7"/>
        <v>0</v>
      </c>
      <c r="L14" s="437"/>
      <c r="M14" s="438">
        <f>IF(A14="","",LOOKUP(A14,$O$9:O66,$Q$9:Q66))</f>
      </c>
      <c r="N14" s="438">
        <f t="shared" si="13"/>
      </c>
      <c r="O14" s="367">
        <f t="shared" si="14"/>
      </c>
      <c r="P14" s="439">
        <f t="shared" si="15"/>
      </c>
      <c r="Q14" s="440">
        <f t="shared" si="16"/>
      </c>
      <c r="R14" s="432">
        <f t="shared" si="20"/>
      </c>
      <c r="S14" s="432">
        <f t="shared" si="17"/>
      </c>
      <c r="T14" s="420">
        <v>1971</v>
      </c>
      <c r="U14" s="426">
        <v>6400</v>
      </c>
      <c r="V14" s="427">
        <v>6400</v>
      </c>
      <c r="W14" s="430">
        <f t="shared" si="3"/>
        <v>1.0666666666666667</v>
      </c>
      <c r="X14" s="428" t="e">
        <f t="shared" si="0"/>
        <v>#N/A</v>
      </c>
      <c r="Y14" s="428">
        <f t="shared" si="1"/>
      </c>
      <c r="Z14" s="429">
        <f t="shared" si="2"/>
      </c>
    </row>
    <row r="15" spans="1:26" ht="12.75">
      <c r="A15" s="443">
        <f t="shared" si="8"/>
      </c>
      <c r="B15" s="444">
        <f t="shared" si="9"/>
      </c>
      <c r="C15" s="444">
        <f t="shared" si="4"/>
      </c>
      <c r="D15" s="24">
        <f t="shared" si="10"/>
      </c>
      <c r="E15" s="170">
        <f t="shared" si="5"/>
      </c>
      <c r="F15" s="170">
        <f t="shared" si="6"/>
      </c>
      <c r="G15" s="170">
        <f t="shared" si="18"/>
      </c>
      <c r="H15" s="170">
        <f t="shared" si="11"/>
      </c>
      <c r="I15" s="170">
        <f t="shared" si="12"/>
      </c>
      <c r="J15" s="170">
        <f t="shared" si="19"/>
      </c>
      <c r="K15" s="436">
        <f t="shared" si="7"/>
        <v>0</v>
      </c>
      <c r="L15" s="437"/>
      <c r="M15" s="438">
        <f>IF(A15="","",LOOKUP(A15,$O$9:O67,$Q$9:Q67))</f>
      </c>
      <c r="N15" s="438">
        <f t="shared" si="13"/>
      </c>
      <c r="O15" s="367">
        <f t="shared" si="14"/>
      </c>
      <c r="P15" s="439">
        <f t="shared" si="15"/>
      </c>
      <c r="Q15" s="440">
        <f t="shared" si="16"/>
      </c>
      <c r="R15" s="432">
        <f t="shared" si="20"/>
      </c>
      <c r="S15" s="432">
        <f t="shared" si="17"/>
      </c>
      <c r="T15" s="420">
        <v>1972</v>
      </c>
      <c r="U15" s="426">
        <v>7100</v>
      </c>
      <c r="V15" s="427">
        <v>7100</v>
      </c>
      <c r="W15" s="430">
        <f t="shared" si="3"/>
        <v>1.109375</v>
      </c>
      <c r="X15" s="428" t="e">
        <f t="shared" si="0"/>
        <v>#N/A</v>
      </c>
      <c r="Y15" s="428">
        <f t="shared" si="1"/>
      </c>
      <c r="Z15" s="429">
        <f t="shared" si="2"/>
      </c>
    </row>
    <row r="16" spans="1:26" ht="12.75">
      <c r="A16" s="443">
        <f t="shared" si="8"/>
      </c>
      <c r="B16" s="444">
        <f t="shared" si="9"/>
      </c>
      <c r="C16" s="444">
        <f t="shared" si="4"/>
      </c>
      <c r="D16" s="24">
        <f t="shared" si="10"/>
      </c>
      <c r="E16" s="170">
        <f t="shared" si="5"/>
      </c>
      <c r="F16" s="170">
        <f t="shared" si="6"/>
      </c>
      <c r="G16" s="170">
        <f t="shared" si="18"/>
      </c>
      <c r="H16" s="170">
        <f t="shared" si="11"/>
      </c>
      <c r="I16" s="170">
        <f t="shared" si="12"/>
      </c>
      <c r="J16" s="170">
        <f t="shared" si="19"/>
      </c>
      <c r="K16" s="436">
        <f t="shared" si="7"/>
        <v>0</v>
      </c>
      <c r="L16" s="437"/>
      <c r="M16" s="438">
        <f>IF(A16="","",LOOKUP(A16,$O$9:O68,$Q$9:Q68))</f>
      </c>
      <c r="N16" s="438">
        <f t="shared" si="13"/>
      </c>
      <c r="O16" s="367">
        <f t="shared" si="14"/>
      </c>
      <c r="P16" s="439">
        <f t="shared" si="15"/>
      </c>
      <c r="Q16" s="440">
        <f t="shared" si="16"/>
      </c>
      <c r="R16" s="432">
        <f t="shared" si="20"/>
      </c>
      <c r="S16" s="432">
        <f t="shared" si="17"/>
      </c>
      <c r="T16" s="420">
        <v>1973</v>
      </c>
      <c r="U16" s="426">
        <v>7300</v>
      </c>
      <c r="V16" s="427">
        <v>7300</v>
      </c>
      <c r="W16" s="430">
        <f t="shared" si="3"/>
        <v>1.028169014084507</v>
      </c>
      <c r="X16" s="428" t="e">
        <f t="shared" si="0"/>
        <v>#N/A</v>
      </c>
      <c r="Y16" s="428">
        <f t="shared" si="1"/>
      </c>
      <c r="Z16" s="429">
        <f t="shared" si="2"/>
      </c>
    </row>
    <row r="17" spans="1:26" ht="12.75">
      <c r="A17" s="443">
        <f t="shared" si="8"/>
      </c>
      <c r="B17" s="444">
        <f t="shared" si="9"/>
      </c>
      <c r="C17" s="444">
        <f t="shared" si="4"/>
      </c>
      <c r="D17" s="24">
        <f t="shared" si="10"/>
      </c>
      <c r="E17" s="170">
        <f t="shared" si="5"/>
      </c>
      <c r="F17" s="170">
        <f t="shared" si="6"/>
      </c>
      <c r="G17" s="170">
        <f t="shared" si="18"/>
      </c>
      <c r="H17" s="170">
        <f t="shared" si="11"/>
      </c>
      <c r="I17" s="170">
        <f t="shared" si="12"/>
      </c>
      <c r="J17" s="170">
        <f t="shared" si="19"/>
      </c>
      <c r="K17" s="436">
        <f t="shared" si="7"/>
        <v>0</v>
      </c>
      <c r="L17" s="437"/>
      <c r="M17" s="438">
        <f>IF(A17="","",LOOKUP(A17,$O$9:O69,$Q$9:Q69))</f>
      </c>
      <c r="N17" s="438">
        <f t="shared" si="13"/>
      </c>
      <c r="O17" s="367">
        <f t="shared" si="14"/>
      </c>
      <c r="P17" s="439">
        <f t="shared" si="15"/>
      </c>
      <c r="Q17" s="440">
        <f t="shared" si="16"/>
      </c>
      <c r="R17" s="432">
        <f t="shared" si="20"/>
      </c>
      <c r="S17" s="432">
        <f t="shared" si="17"/>
      </c>
      <c r="T17" s="420">
        <v>1974</v>
      </c>
      <c r="U17" s="426">
        <v>8100</v>
      </c>
      <c r="V17" s="427">
        <v>8100</v>
      </c>
      <c r="W17" s="430">
        <f t="shared" si="3"/>
        <v>1.1095890410958904</v>
      </c>
      <c r="X17" s="428" t="e">
        <f t="shared" si="0"/>
        <v>#N/A</v>
      </c>
      <c r="Y17" s="428">
        <f t="shared" si="1"/>
      </c>
      <c r="Z17" s="429">
        <f t="shared" si="2"/>
      </c>
    </row>
    <row r="18" spans="1:26" ht="12.75">
      <c r="A18" s="443">
        <f t="shared" si="8"/>
      </c>
      <c r="B18" s="444">
        <f t="shared" si="9"/>
      </c>
      <c r="C18" s="444">
        <f t="shared" si="4"/>
      </c>
      <c r="D18" s="24">
        <f t="shared" si="10"/>
      </c>
      <c r="E18" s="170">
        <f t="shared" si="5"/>
      </c>
      <c r="F18" s="170">
        <f t="shared" si="6"/>
      </c>
      <c r="G18" s="170">
        <f t="shared" si="18"/>
      </c>
      <c r="H18" s="170">
        <f t="shared" si="11"/>
      </c>
      <c r="I18" s="170">
        <f t="shared" si="12"/>
      </c>
      <c r="J18" s="170">
        <f t="shared" si="19"/>
      </c>
      <c r="K18" s="436">
        <f t="shared" si="7"/>
        <v>0</v>
      </c>
      <c r="L18" s="437"/>
      <c r="M18" s="438">
        <f>IF(A18="","",LOOKUP(A18,$O$9:O70,$Q$9:Q70))</f>
      </c>
      <c r="N18" s="438">
        <f t="shared" si="13"/>
      </c>
      <c r="O18" s="367">
        <f t="shared" si="14"/>
      </c>
      <c r="P18" s="439">
        <f t="shared" si="15"/>
      </c>
      <c r="Q18" s="440">
        <f t="shared" si="16"/>
      </c>
      <c r="R18" s="432">
        <f t="shared" si="20"/>
      </c>
      <c r="S18" s="432">
        <f t="shared" si="17"/>
      </c>
      <c r="T18" s="420">
        <v>1975</v>
      </c>
      <c r="U18" s="426">
        <v>9000</v>
      </c>
      <c r="V18" s="427">
        <v>9000</v>
      </c>
      <c r="W18" s="430">
        <f t="shared" si="3"/>
        <v>1.1111111111111112</v>
      </c>
      <c r="X18" s="428" t="e">
        <f t="shared" si="0"/>
        <v>#N/A</v>
      </c>
      <c r="Y18" s="428">
        <f t="shared" si="1"/>
      </c>
      <c r="Z18" s="429">
        <f t="shared" si="2"/>
      </c>
    </row>
    <row r="19" spans="1:26" ht="12.75">
      <c r="A19" s="443">
        <f t="shared" si="8"/>
      </c>
      <c r="B19" s="444">
        <f t="shared" si="9"/>
      </c>
      <c r="C19" s="444">
        <f t="shared" si="4"/>
      </c>
      <c r="D19" s="24">
        <f t="shared" si="10"/>
      </c>
      <c r="E19" s="170">
        <f t="shared" si="5"/>
      </c>
      <c r="F19" s="170">
        <f t="shared" si="6"/>
      </c>
      <c r="G19" s="170">
        <f t="shared" si="18"/>
      </c>
      <c r="H19" s="170">
        <f t="shared" si="11"/>
      </c>
      <c r="I19" s="170">
        <f t="shared" si="12"/>
      </c>
      <c r="J19" s="170">
        <f t="shared" si="19"/>
      </c>
      <c r="K19" s="436">
        <f t="shared" si="7"/>
        <v>0</v>
      </c>
      <c r="L19" s="437"/>
      <c r="M19" s="438">
        <f>IF(A19="","",LOOKUP(A19,$O$9:O71,$Q$9:Q71))</f>
      </c>
      <c r="N19" s="438">
        <f t="shared" si="13"/>
      </c>
      <c r="O19" s="367">
        <f t="shared" si="14"/>
      </c>
      <c r="P19" s="439">
        <f t="shared" si="15"/>
      </c>
      <c r="Q19" s="440">
        <f t="shared" si="16"/>
      </c>
      <c r="R19" s="432">
        <f t="shared" si="20"/>
      </c>
      <c r="S19" s="432">
        <f t="shared" si="17"/>
      </c>
      <c r="T19" s="420">
        <v>1976</v>
      </c>
      <c r="U19" s="426">
        <v>9700</v>
      </c>
      <c r="V19" s="427">
        <v>9700</v>
      </c>
      <c r="W19" s="430">
        <f t="shared" si="3"/>
        <v>1.0777777777777777</v>
      </c>
      <c r="X19" s="428" t="e">
        <f t="shared" si="0"/>
        <v>#N/A</v>
      </c>
      <c r="Y19" s="428">
        <f t="shared" si="1"/>
      </c>
      <c r="Z19" s="429">
        <f t="shared" si="2"/>
      </c>
    </row>
    <row r="20" spans="1:26" ht="12.75">
      <c r="A20" s="443">
        <f t="shared" si="8"/>
      </c>
      <c r="B20" s="444">
        <f t="shared" si="9"/>
      </c>
      <c r="C20" s="444">
        <f t="shared" si="4"/>
      </c>
      <c r="D20" s="24">
        <f t="shared" si="10"/>
      </c>
      <c r="E20" s="170">
        <f t="shared" si="5"/>
      </c>
      <c r="F20" s="170">
        <f t="shared" si="6"/>
      </c>
      <c r="G20" s="170">
        <f t="shared" si="18"/>
      </c>
      <c r="H20" s="170">
        <f t="shared" si="11"/>
      </c>
      <c r="I20" s="170">
        <f t="shared" si="12"/>
      </c>
      <c r="J20" s="170">
        <f t="shared" si="19"/>
      </c>
      <c r="K20" s="436">
        <f t="shared" si="7"/>
        <v>0</v>
      </c>
      <c r="L20" s="437"/>
      <c r="M20" s="438">
        <f>IF(A20="","",LOOKUP(A20,$O$9:O72,$Q$9:Q72))</f>
      </c>
      <c r="N20" s="438">
        <f t="shared" si="13"/>
      </c>
      <c r="O20" s="367">
        <f t="shared" si="14"/>
      </c>
      <c r="P20" s="439">
        <f t="shared" si="15"/>
      </c>
      <c r="Q20" s="440">
        <f t="shared" si="16"/>
      </c>
      <c r="R20" s="432">
        <f t="shared" si="20"/>
      </c>
      <c r="S20" s="432">
        <f t="shared" si="17"/>
      </c>
      <c r="T20" s="420">
        <v>1977</v>
      </c>
      <c r="U20" s="426">
        <v>10700</v>
      </c>
      <c r="V20" s="427">
        <v>10700</v>
      </c>
      <c r="W20" s="430">
        <f t="shared" si="3"/>
        <v>1.1030927835051547</v>
      </c>
      <c r="X20" s="428" t="e">
        <f t="shared" si="0"/>
        <v>#N/A</v>
      </c>
      <c r="Y20" s="428">
        <f t="shared" si="1"/>
      </c>
      <c r="Z20" s="429">
        <f t="shared" si="2"/>
      </c>
    </row>
    <row r="21" spans="1:26" ht="12.75">
      <c r="A21" s="443">
        <f t="shared" si="8"/>
      </c>
      <c r="B21" s="444">
        <f t="shared" si="9"/>
      </c>
      <c r="C21" s="444">
        <f t="shared" si="4"/>
      </c>
      <c r="D21" s="24">
        <f t="shared" si="10"/>
      </c>
      <c r="E21" s="170">
        <f t="shared" si="5"/>
      </c>
      <c r="F21" s="170">
        <f t="shared" si="6"/>
      </c>
      <c r="G21" s="170">
        <f t="shared" si="18"/>
      </c>
      <c r="H21" s="170">
        <f t="shared" si="11"/>
      </c>
      <c r="I21" s="170">
        <f t="shared" si="12"/>
      </c>
      <c r="J21" s="170">
        <f t="shared" si="19"/>
      </c>
      <c r="K21" s="436">
        <f t="shared" si="7"/>
        <v>0</v>
      </c>
      <c r="L21" s="437"/>
      <c r="M21" s="438">
        <f>IF(A21="","",LOOKUP(A21,$O$9:O73,$Q$9:Q73))</f>
      </c>
      <c r="N21" s="438">
        <f t="shared" si="13"/>
      </c>
      <c r="O21" s="367">
        <f t="shared" si="14"/>
      </c>
      <c r="P21" s="439">
        <f t="shared" si="15"/>
      </c>
      <c r="Q21" s="440">
        <f t="shared" si="16"/>
      </c>
      <c r="R21" s="432">
        <f t="shared" si="20"/>
      </c>
      <c r="S21" s="432">
        <f t="shared" si="17"/>
      </c>
      <c r="T21" s="420">
        <v>1978</v>
      </c>
      <c r="U21" s="426">
        <v>11800</v>
      </c>
      <c r="V21" s="427">
        <v>11800</v>
      </c>
      <c r="W21" s="430">
        <f t="shared" si="3"/>
        <v>1.102803738317757</v>
      </c>
      <c r="X21" s="428" t="e">
        <f t="shared" si="0"/>
        <v>#N/A</v>
      </c>
      <c r="Y21" s="428">
        <f t="shared" si="1"/>
      </c>
      <c r="Z21" s="429">
        <f t="shared" si="2"/>
      </c>
    </row>
    <row r="22" spans="1:26" ht="12.75">
      <c r="A22" s="443">
        <f t="shared" si="8"/>
      </c>
      <c r="B22" s="444">
        <f t="shared" si="9"/>
      </c>
      <c r="C22" s="444">
        <f t="shared" si="4"/>
      </c>
      <c r="D22" s="24">
        <f t="shared" si="10"/>
      </c>
      <c r="E22" s="170">
        <f t="shared" si="5"/>
      </c>
      <c r="F22" s="170">
        <f t="shared" si="6"/>
      </c>
      <c r="G22" s="170">
        <f t="shared" si="18"/>
      </c>
      <c r="H22" s="170">
        <f t="shared" si="11"/>
      </c>
      <c r="I22" s="170">
        <f t="shared" si="12"/>
      </c>
      <c r="J22" s="170">
        <f t="shared" si="19"/>
      </c>
      <c r="K22" s="436">
        <f t="shared" si="7"/>
        <v>0</v>
      </c>
      <c r="L22" s="437"/>
      <c r="M22" s="438">
        <f>IF(A22="","",LOOKUP(A22,$O$9:O74,$Q$9:Q74))</f>
      </c>
      <c r="N22" s="438">
        <f t="shared" si="13"/>
      </c>
      <c r="O22" s="367">
        <f t="shared" si="14"/>
      </c>
      <c r="P22" s="439">
        <f t="shared" si="15"/>
      </c>
      <c r="Q22" s="440">
        <f t="shared" si="16"/>
      </c>
      <c r="R22" s="432">
        <f t="shared" si="20"/>
      </c>
      <c r="S22" s="432">
        <f t="shared" si="17"/>
      </c>
      <c r="T22" s="420">
        <v>1979</v>
      </c>
      <c r="U22" s="426">
        <v>13100</v>
      </c>
      <c r="V22" s="427">
        <v>13100</v>
      </c>
      <c r="W22" s="430">
        <f t="shared" si="3"/>
        <v>1.1101694915254237</v>
      </c>
      <c r="X22" s="428" t="e">
        <f t="shared" si="0"/>
        <v>#N/A</v>
      </c>
      <c r="Y22" s="428">
        <f t="shared" si="1"/>
      </c>
      <c r="Z22" s="429">
        <f t="shared" si="2"/>
      </c>
    </row>
    <row r="23" spans="1:26" ht="12.75">
      <c r="A23" s="443">
        <f t="shared" si="8"/>
      </c>
      <c r="B23" s="444">
        <f t="shared" si="9"/>
      </c>
      <c r="C23" s="444">
        <f t="shared" si="4"/>
      </c>
      <c r="D23" s="24">
        <f t="shared" si="10"/>
      </c>
      <c r="E23" s="170">
        <f t="shared" si="5"/>
      </c>
      <c r="F23" s="170">
        <f t="shared" si="6"/>
      </c>
      <c r="G23" s="170">
        <f t="shared" si="18"/>
      </c>
      <c r="H23" s="170">
        <f t="shared" si="11"/>
      </c>
      <c r="I23" s="170">
        <f t="shared" si="12"/>
      </c>
      <c r="J23" s="170">
        <f t="shared" si="19"/>
      </c>
      <c r="K23" s="436">
        <f t="shared" si="7"/>
        <v>0</v>
      </c>
      <c r="L23" s="437"/>
      <c r="M23" s="438">
        <f>IF(A23="","",LOOKUP(A23,$O$9:O75,$Q$9:Q75))</f>
      </c>
      <c r="N23" s="438">
        <f t="shared" si="13"/>
      </c>
      <c r="O23" s="367">
        <f t="shared" si="14"/>
      </c>
      <c r="P23" s="439">
        <f t="shared" si="15"/>
      </c>
      <c r="Q23" s="440">
        <f t="shared" si="16"/>
      </c>
      <c r="R23" s="432">
        <f t="shared" si="20"/>
      </c>
      <c r="S23" s="432">
        <f t="shared" si="17"/>
      </c>
      <c r="T23" s="420">
        <v>1980</v>
      </c>
      <c r="U23" s="426">
        <v>13900</v>
      </c>
      <c r="V23" s="427">
        <v>13900</v>
      </c>
      <c r="W23" s="430">
        <f t="shared" si="3"/>
        <v>1.0610687022900764</v>
      </c>
      <c r="X23" s="428" t="e">
        <f t="shared" si="0"/>
        <v>#N/A</v>
      </c>
      <c r="Y23" s="428">
        <f t="shared" si="1"/>
      </c>
      <c r="Z23" s="429">
        <f t="shared" si="2"/>
      </c>
    </row>
    <row r="24" spans="1:26" ht="12.75">
      <c r="A24" s="443">
        <f t="shared" si="8"/>
      </c>
      <c r="B24" s="444">
        <f t="shared" si="9"/>
      </c>
      <c r="C24" s="444">
        <f t="shared" si="4"/>
      </c>
      <c r="D24" s="24">
        <f t="shared" si="10"/>
      </c>
      <c r="E24" s="170">
        <f t="shared" si="5"/>
      </c>
      <c r="F24" s="170">
        <f t="shared" si="6"/>
      </c>
      <c r="G24" s="170">
        <f t="shared" si="18"/>
      </c>
      <c r="H24" s="170">
        <f t="shared" si="11"/>
      </c>
      <c r="I24" s="170">
        <f t="shared" si="12"/>
      </c>
      <c r="J24" s="170">
        <f t="shared" si="19"/>
      </c>
      <c r="K24" s="436">
        <f t="shared" si="7"/>
        <v>0</v>
      </c>
      <c r="L24" s="437"/>
      <c r="M24" s="438">
        <f>IF(A24="","",LOOKUP(A24,$O$9:O76,$Q$9:Q76))</f>
      </c>
      <c r="N24" s="438">
        <f t="shared" si="13"/>
      </c>
      <c r="O24" s="367">
        <f t="shared" si="14"/>
      </c>
      <c r="P24" s="439">
        <f t="shared" si="15"/>
      </c>
      <c r="Q24" s="440">
        <f t="shared" si="16"/>
      </c>
      <c r="R24" s="432">
        <f t="shared" si="20"/>
      </c>
      <c r="S24" s="432">
        <f t="shared" si="17"/>
      </c>
      <c r="T24" s="420">
        <v>1981</v>
      </c>
      <c r="U24" s="426">
        <v>16100</v>
      </c>
      <c r="V24" s="427">
        <v>16100</v>
      </c>
      <c r="W24" s="430">
        <f t="shared" si="3"/>
        <v>1.158273381294964</v>
      </c>
      <c r="X24" s="428" t="e">
        <f t="shared" si="0"/>
        <v>#N/A</v>
      </c>
      <c r="Y24" s="428">
        <f t="shared" si="1"/>
      </c>
      <c r="Z24" s="429">
        <f t="shared" si="2"/>
      </c>
    </row>
    <row r="25" spans="1:26" ht="12.75">
      <c r="A25" s="443">
        <f t="shared" si="8"/>
      </c>
      <c r="B25" s="444">
        <f t="shared" si="9"/>
      </c>
      <c r="C25" s="444">
        <f t="shared" si="4"/>
      </c>
      <c r="D25" s="24">
        <f t="shared" si="10"/>
      </c>
      <c r="E25" s="170">
        <f t="shared" si="5"/>
      </c>
      <c r="F25" s="170">
        <f t="shared" si="6"/>
      </c>
      <c r="G25" s="170">
        <f t="shared" si="18"/>
      </c>
      <c r="H25" s="170">
        <f t="shared" si="11"/>
      </c>
      <c r="I25" s="170">
        <f t="shared" si="12"/>
      </c>
      <c r="J25" s="170">
        <f t="shared" si="19"/>
      </c>
      <c r="K25" s="436">
        <f t="shared" si="7"/>
        <v>0</v>
      </c>
      <c r="L25" s="437"/>
      <c r="M25" s="438">
        <f>IF(A25="","",LOOKUP(A25,$O$9:O77,$Q$9:Q77))</f>
      </c>
      <c r="N25" s="438">
        <f t="shared" si="13"/>
      </c>
      <c r="O25" s="367">
        <f t="shared" si="14"/>
      </c>
      <c r="P25" s="439">
        <f t="shared" si="15"/>
      </c>
      <c r="Q25" s="440">
        <f t="shared" si="16"/>
      </c>
      <c r="R25" s="432">
        <f t="shared" si="20"/>
      </c>
      <c r="S25" s="432">
        <f t="shared" si="17"/>
      </c>
      <c r="T25" s="420">
        <v>1982</v>
      </c>
      <c r="U25" s="426">
        <v>17800</v>
      </c>
      <c r="V25" s="427">
        <v>17800</v>
      </c>
      <c r="W25" s="430">
        <f t="shared" si="3"/>
        <v>1.1055900621118013</v>
      </c>
      <c r="X25" s="428" t="e">
        <f t="shared" si="0"/>
        <v>#N/A</v>
      </c>
      <c r="Y25" s="428">
        <f t="shared" si="1"/>
      </c>
      <c r="Z25" s="429">
        <f t="shared" si="2"/>
      </c>
    </row>
    <row r="26" spans="1:26" ht="12.75">
      <c r="A26" s="443">
        <f t="shared" si="8"/>
      </c>
      <c r="B26" s="444">
        <f t="shared" si="9"/>
      </c>
      <c r="C26" s="444">
        <f t="shared" si="4"/>
      </c>
      <c r="D26" s="24">
        <f t="shared" si="10"/>
      </c>
      <c r="E26" s="170">
        <f t="shared" si="5"/>
      </c>
      <c r="F26" s="170">
        <f t="shared" si="6"/>
      </c>
      <c r="G26" s="170">
        <f t="shared" si="18"/>
      </c>
      <c r="H26" s="170">
        <f t="shared" si="11"/>
      </c>
      <c r="I26" s="170">
        <f t="shared" si="12"/>
      </c>
      <c r="J26" s="170">
        <f t="shared" si="19"/>
      </c>
      <c r="K26" s="436">
        <f t="shared" si="7"/>
        <v>0</v>
      </c>
      <c r="L26" s="437"/>
      <c r="M26" s="438">
        <f>IF(A26="","",LOOKUP(A26,$O$9:O78,$Q$9:Q78))</f>
      </c>
      <c r="N26" s="438">
        <f t="shared" si="13"/>
      </c>
      <c r="O26" s="367">
        <f t="shared" si="14"/>
      </c>
      <c r="P26" s="439">
        <f t="shared" si="15"/>
      </c>
      <c r="Q26" s="440">
        <f t="shared" si="16"/>
      </c>
      <c r="R26" s="432">
        <f t="shared" si="20"/>
      </c>
      <c r="S26" s="432">
        <f t="shared" si="17"/>
      </c>
      <c r="T26" s="420">
        <v>1983</v>
      </c>
      <c r="U26" s="426">
        <v>19400</v>
      </c>
      <c r="V26" s="427">
        <v>19400</v>
      </c>
      <c r="W26" s="430">
        <f t="shared" si="3"/>
        <v>1.0898876404494382</v>
      </c>
      <c r="X26" s="428" t="e">
        <f t="shared" si="0"/>
        <v>#N/A</v>
      </c>
      <c r="Y26" s="428">
        <f t="shared" si="1"/>
      </c>
      <c r="Z26" s="429">
        <f t="shared" si="2"/>
      </c>
    </row>
    <row r="27" spans="1:26" ht="12.75">
      <c r="A27" s="443">
        <f t="shared" si="8"/>
      </c>
      <c r="B27" s="444">
        <f t="shared" si="9"/>
      </c>
      <c r="C27" s="444">
        <f t="shared" si="4"/>
      </c>
      <c r="D27" s="24">
        <f t="shared" si="10"/>
      </c>
      <c r="E27" s="170">
        <f t="shared" si="5"/>
      </c>
      <c r="F27" s="170">
        <f t="shared" si="6"/>
      </c>
      <c r="G27" s="170">
        <f t="shared" si="18"/>
      </c>
      <c r="H27" s="170">
        <f t="shared" si="11"/>
      </c>
      <c r="I27" s="170">
        <f t="shared" si="12"/>
      </c>
      <c r="J27" s="170">
        <f t="shared" si="19"/>
      </c>
      <c r="K27" s="436">
        <f t="shared" si="7"/>
        <v>0</v>
      </c>
      <c r="L27" s="437"/>
      <c r="M27" s="438">
        <f>IF(A27="","",LOOKUP(A27,$O$9:O79,$Q$9:Q79))</f>
      </c>
      <c r="N27" s="438">
        <f t="shared" si="13"/>
      </c>
      <c r="O27" s="367">
        <f t="shared" si="14"/>
      </c>
      <c r="P27" s="439">
        <f t="shared" si="15"/>
      </c>
      <c r="Q27" s="440">
        <f t="shared" si="16"/>
      </c>
      <c r="R27" s="432">
        <f t="shared" si="20"/>
      </c>
      <c r="S27" s="432">
        <f t="shared" si="17"/>
      </c>
      <c r="T27" s="420">
        <v>1984</v>
      </c>
      <c r="U27" s="426">
        <v>20300</v>
      </c>
      <c r="V27" s="427">
        <v>20300</v>
      </c>
      <c r="W27" s="430">
        <f t="shared" si="3"/>
        <v>1.0463917525773196</v>
      </c>
      <c r="X27" s="428" t="e">
        <f t="shared" si="0"/>
        <v>#N/A</v>
      </c>
      <c r="Y27" s="428">
        <f t="shared" si="1"/>
      </c>
      <c r="Z27" s="429">
        <f t="shared" si="2"/>
      </c>
    </row>
    <row r="28" spans="1:26" ht="12.75">
      <c r="A28" s="443">
        <f t="shared" si="8"/>
      </c>
      <c r="B28" s="444">
        <f t="shared" si="9"/>
      </c>
      <c r="C28" s="444">
        <f t="shared" si="4"/>
      </c>
      <c r="D28" s="24">
        <f t="shared" si="10"/>
      </c>
      <c r="E28" s="170">
        <f t="shared" si="5"/>
      </c>
      <c r="F28" s="170">
        <f t="shared" si="6"/>
      </c>
      <c r="G28" s="170">
        <f t="shared" si="18"/>
      </c>
      <c r="H28" s="170">
        <f t="shared" si="11"/>
      </c>
      <c r="I28" s="170">
        <f t="shared" si="12"/>
      </c>
      <c r="J28" s="170">
        <f t="shared" si="19"/>
      </c>
      <c r="K28" s="436">
        <f t="shared" si="7"/>
        <v>0</v>
      </c>
      <c r="L28" s="437"/>
      <c r="M28" s="438">
        <f>IF(A28="","",LOOKUP(A28,$O$9:O80,$Q$9:Q80))</f>
      </c>
      <c r="N28" s="438">
        <f t="shared" si="13"/>
      </c>
      <c r="O28" s="367">
        <f t="shared" si="14"/>
      </c>
      <c r="P28" s="439">
        <f t="shared" si="15"/>
      </c>
      <c r="Q28" s="440">
        <f t="shared" si="16"/>
      </c>
      <c r="R28" s="432">
        <f t="shared" si="20"/>
      </c>
      <c r="S28" s="432">
        <f t="shared" si="17"/>
      </c>
      <c r="T28" s="420">
        <v>1985</v>
      </c>
      <c r="U28" s="426">
        <v>21800</v>
      </c>
      <c r="V28" s="427">
        <v>21800</v>
      </c>
      <c r="W28" s="430">
        <f t="shared" si="3"/>
        <v>1.0738916256157636</v>
      </c>
      <c r="X28" s="428" t="e">
        <f t="shared" si="0"/>
        <v>#N/A</v>
      </c>
      <c r="Y28" s="428">
        <f t="shared" si="1"/>
      </c>
      <c r="Z28" s="429">
        <f t="shared" si="2"/>
      </c>
    </row>
    <row r="29" spans="1:26" ht="12.75">
      <c r="A29" s="443">
        <f t="shared" si="8"/>
      </c>
      <c r="B29" s="444">
        <f t="shared" si="9"/>
      </c>
      <c r="C29" s="444">
        <f t="shared" si="4"/>
      </c>
      <c r="D29" s="24">
        <f t="shared" si="10"/>
      </c>
      <c r="E29" s="170">
        <f t="shared" si="5"/>
      </c>
      <c r="F29" s="170">
        <f t="shared" si="6"/>
      </c>
      <c r="G29" s="170">
        <f t="shared" si="18"/>
      </c>
      <c r="H29" s="170">
        <f t="shared" si="11"/>
      </c>
      <c r="I29" s="170">
        <f t="shared" si="12"/>
      </c>
      <c r="J29" s="170">
        <f t="shared" si="19"/>
      </c>
      <c r="K29" s="436">
        <f t="shared" si="7"/>
        <v>0</v>
      </c>
      <c r="L29" s="437"/>
      <c r="M29" s="438">
        <f>IF(A29="","",LOOKUP(A29,$O$9:O81,$Q$9:Q81))</f>
      </c>
      <c r="N29" s="438">
        <f t="shared" si="13"/>
      </c>
      <c r="O29" s="367">
        <f t="shared" si="14"/>
      </c>
      <c r="P29" s="439">
        <f t="shared" si="15"/>
      </c>
      <c r="Q29" s="440">
        <f t="shared" si="16"/>
      </c>
      <c r="R29" s="432">
        <f t="shared" si="20"/>
      </c>
      <c r="S29" s="432">
        <f t="shared" si="17"/>
      </c>
      <c r="T29" s="420">
        <v>1986</v>
      </c>
      <c r="U29" s="426">
        <v>23300</v>
      </c>
      <c r="V29" s="427">
        <v>23300</v>
      </c>
      <c r="W29" s="430">
        <f t="shared" si="3"/>
        <v>1.0688073394495412</v>
      </c>
      <c r="X29" s="428" t="e">
        <f t="shared" si="0"/>
        <v>#N/A</v>
      </c>
      <c r="Y29" s="428">
        <f t="shared" si="1"/>
      </c>
      <c r="Z29" s="429">
        <f t="shared" si="2"/>
      </c>
    </row>
    <row r="30" spans="1:26" ht="12.75">
      <c r="A30" s="443">
        <f t="shared" si="8"/>
      </c>
      <c r="B30" s="444">
        <f t="shared" si="9"/>
      </c>
      <c r="C30" s="444">
        <f t="shared" si="4"/>
      </c>
      <c r="D30" s="24">
        <f t="shared" si="10"/>
      </c>
      <c r="E30" s="170">
        <f t="shared" si="5"/>
      </c>
      <c r="F30" s="170">
        <f t="shared" si="6"/>
      </c>
      <c r="G30" s="170">
        <f t="shared" si="18"/>
      </c>
      <c r="H30" s="170">
        <f t="shared" si="11"/>
      </c>
      <c r="I30" s="170">
        <f t="shared" si="12"/>
      </c>
      <c r="J30" s="170">
        <f t="shared" si="19"/>
      </c>
      <c r="K30" s="436">
        <f t="shared" si="7"/>
        <v>0</v>
      </c>
      <c r="L30" s="437"/>
      <c r="M30" s="438">
        <f>IF(A30="","",LOOKUP(A30,$O$9:O82,$Q$9:Q82))</f>
      </c>
      <c r="N30" s="438">
        <f t="shared" si="13"/>
      </c>
      <c r="O30" s="367">
        <f t="shared" si="14"/>
      </c>
      <c r="P30" s="439">
        <f t="shared" si="15"/>
      </c>
      <c r="Q30" s="440">
        <f t="shared" si="16"/>
      </c>
      <c r="R30" s="432">
        <f t="shared" si="20"/>
      </c>
      <c r="S30" s="432">
        <f t="shared" si="17"/>
      </c>
      <c r="T30" s="420">
        <v>1987</v>
      </c>
      <c r="U30" s="426">
        <v>24100</v>
      </c>
      <c r="V30" s="427">
        <v>24100</v>
      </c>
      <c r="W30" s="430">
        <f t="shared" si="3"/>
        <v>1.0343347639484979</v>
      </c>
      <c r="X30" s="428" t="e">
        <f t="shared" si="0"/>
        <v>#N/A</v>
      </c>
      <c r="Y30" s="428">
        <f t="shared" si="1"/>
      </c>
      <c r="Z30" s="429">
        <f t="shared" si="2"/>
      </c>
    </row>
    <row r="31" spans="1:26" ht="12.75">
      <c r="A31" s="443">
        <f t="shared" si="8"/>
      </c>
      <c r="B31" s="444">
        <f t="shared" si="9"/>
      </c>
      <c r="C31" s="444">
        <f t="shared" si="4"/>
      </c>
      <c r="D31" s="24">
        <f t="shared" si="10"/>
      </c>
      <c r="E31" s="170">
        <f t="shared" si="5"/>
      </c>
      <c r="F31" s="170">
        <f t="shared" si="6"/>
      </c>
      <c r="G31" s="170">
        <f t="shared" si="18"/>
      </c>
      <c r="H31" s="170">
        <f t="shared" si="11"/>
      </c>
      <c r="I31" s="170">
        <f t="shared" si="12"/>
      </c>
      <c r="J31" s="170">
        <f t="shared" si="19"/>
      </c>
      <c r="K31" s="436">
        <f t="shared" si="7"/>
        <v>0</v>
      </c>
      <c r="L31" s="437"/>
      <c r="M31" s="438">
        <f>IF(A31="","",LOOKUP(A31,$O$9:O83,$Q$9:Q83))</f>
      </c>
      <c r="N31" s="438">
        <f t="shared" si="13"/>
      </c>
      <c r="O31" s="367">
        <f t="shared" si="14"/>
      </c>
      <c r="P31" s="439">
        <f t="shared" si="15"/>
      </c>
      <c r="Q31" s="440">
        <f t="shared" si="16"/>
      </c>
      <c r="R31" s="432">
        <f t="shared" si="20"/>
      </c>
      <c r="S31" s="432">
        <f t="shared" si="17"/>
      </c>
      <c r="T31" s="420">
        <v>1988</v>
      </c>
      <c r="U31" s="426">
        <v>25800</v>
      </c>
      <c r="V31" s="427">
        <v>25800</v>
      </c>
      <c r="W31" s="430">
        <f t="shared" si="3"/>
        <v>1.070539419087137</v>
      </c>
      <c r="X31" s="428" t="e">
        <f t="shared" si="0"/>
        <v>#N/A</v>
      </c>
      <c r="Y31" s="428">
        <f t="shared" si="1"/>
      </c>
      <c r="Z31" s="429">
        <f t="shared" si="2"/>
      </c>
    </row>
    <row r="32" spans="1:26" ht="12.75">
      <c r="A32" s="443">
        <f t="shared" si="8"/>
      </c>
      <c r="B32" s="444">
        <f t="shared" si="9"/>
      </c>
      <c r="C32" s="444">
        <f t="shared" si="4"/>
      </c>
      <c r="D32" s="24">
        <f t="shared" si="10"/>
      </c>
      <c r="E32" s="170">
        <f t="shared" si="5"/>
      </c>
      <c r="F32" s="170">
        <f t="shared" si="6"/>
      </c>
      <c r="G32" s="170">
        <f t="shared" si="18"/>
      </c>
      <c r="H32" s="170">
        <f t="shared" si="11"/>
      </c>
      <c r="I32" s="170">
        <f t="shared" si="12"/>
      </c>
      <c r="J32" s="170">
        <f t="shared" si="19"/>
      </c>
      <c r="K32" s="436">
        <f t="shared" si="7"/>
        <v>0</v>
      </c>
      <c r="L32" s="437"/>
      <c r="M32" s="438">
        <f>IF(A32="","",LOOKUP(A32,$O$9:O84,$Q$9:Q84))</f>
      </c>
      <c r="N32" s="438">
        <f t="shared" si="13"/>
      </c>
      <c r="O32" s="367">
        <f t="shared" si="14"/>
      </c>
      <c r="P32" s="439">
        <f t="shared" si="15"/>
      </c>
      <c r="Q32" s="440">
        <f t="shared" si="16"/>
      </c>
      <c r="R32" s="432">
        <f t="shared" si="20"/>
      </c>
      <c r="S32" s="432">
        <f t="shared" si="17"/>
      </c>
      <c r="T32" s="420">
        <v>1989</v>
      </c>
      <c r="U32" s="426">
        <v>27900</v>
      </c>
      <c r="V32" s="427">
        <v>27900</v>
      </c>
      <c r="W32" s="430">
        <f t="shared" si="3"/>
        <v>1.0813953488372092</v>
      </c>
      <c r="X32" s="428" t="e">
        <f t="shared" si="0"/>
        <v>#N/A</v>
      </c>
      <c r="Y32" s="428">
        <f t="shared" si="1"/>
      </c>
      <c r="Z32" s="429">
        <f t="shared" si="2"/>
      </c>
    </row>
    <row r="33" spans="1:26" ht="12.75">
      <c r="A33" s="443">
        <f t="shared" si="8"/>
      </c>
      <c r="B33" s="444">
        <f t="shared" si="9"/>
      </c>
      <c r="C33" s="444">
        <f t="shared" si="4"/>
      </c>
      <c r="D33" s="24">
        <f t="shared" si="10"/>
      </c>
      <c r="E33" s="170">
        <f t="shared" si="5"/>
      </c>
      <c r="F33" s="170">
        <f t="shared" si="6"/>
      </c>
      <c r="G33" s="170">
        <f t="shared" si="18"/>
      </c>
      <c r="H33" s="170">
        <f t="shared" si="11"/>
      </c>
      <c r="I33" s="170">
        <f t="shared" si="12"/>
      </c>
      <c r="J33" s="170">
        <f t="shared" si="19"/>
      </c>
      <c r="K33" s="436">
        <f t="shared" si="7"/>
        <v>0</v>
      </c>
      <c r="L33" s="437"/>
      <c r="M33" s="438">
        <f>IF(A33="","",LOOKUP(A33,$O$9:O85,$Q$9:Q85))</f>
      </c>
      <c r="N33" s="438">
        <f t="shared" si="13"/>
      </c>
      <c r="O33" s="367">
        <f t="shared" si="14"/>
      </c>
      <c r="P33" s="439">
        <f t="shared" si="15"/>
      </c>
      <c r="Q33" s="440">
        <f t="shared" si="16"/>
      </c>
      <c r="R33" s="432">
        <f t="shared" si="20"/>
      </c>
      <c r="S33" s="432">
        <f t="shared" si="17"/>
      </c>
      <c r="T33" s="420">
        <v>1990</v>
      </c>
      <c r="U33" s="426">
        <v>29700</v>
      </c>
      <c r="V33" s="427">
        <v>29700</v>
      </c>
      <c r="W33" s="430">
        <f t="shared" si="3"/>
        <v>1.064516129032258</v>
      </c>
      <c r="X33" s="428" t="e">
        <f t="shared" si="0"/>
        <v>#N/A</v>
      </c>
      <c r="Y33" s="428">
        <f t="shared" si="1"/>
      </c>
      <c r="Z33" s="429">
        <f t="shared" si="2"/>
      </c>
    </row>
    <row r="34" spans="1:26" ht="12.75">
      <c r="A34" s="443">
        <f t="shared" si="8"/>
      </c>
      <c r="B34" s="444">
        <f t="shared" si="9"/>
      </c>
      <c r="C34" s="444">
        <f t="shared" si="4"/>
      </c>
      <c r="D34" s="24">
        <f t="shared" si="10"/>
      </c>
      <c r="E34" s="170">
        <f t="shared" si="5"/>
      </c>
      <c r="F34" s="170">
        <f t="shared" si="6"/>
      </c>
      <c r="G34" s="170">
        <f t="shared" si="18"/>
      </c>
      <c r="H34" s="170">
        <f t="shared" si="11"/>
      </c>
      <c r="I34" s="170">
        <f t="shared" si="12"/>
      </c>
      <c r="J34" s="170">
        <f t="shared" si="19"/>
      </c>
      <c r="K34" s="436">
        <f t="shared" si="7"/>
        <v>0</v>
      </c>
      <c r="L34" s="437"/>
      <c r="M34" s="438">
        <f>IF(A34="","",LOOKUP(A34,$O$9:O86,$Q$9:Q86))</f>
      </c>
      <c r="N34" s="438">
        <f t="shared" si="13"/>
      </c>
      <c r="O34" s="367">
        <f t="shared" si="14"/>
      </c>
      <c r="P34" s="439">
        <f t="shared" si="15"/>
      </c>
      <c r="Q34" s="440">
        <f t="shared" si="16"/>
      </c>
      <c r="R34" s="432">
        <f t="shared" si="20"/>
      </c>
      <c r="S34" s="432">
        <f t="shared" si="17"/>
      </c>
      <c r="T34" s="420">
        <v>1991</v>
      </c>
      <c r="U34" s="426">
        <v>32200</v>
      </c>
      <c r="V34" s="427">
        <v>32200</v>
      </c>
      <c r="W34" s="430">
        <f t="shared" si="3"/>
        <v>1.0841750841750841</v>
      </c>
      <c r="X34" s="428" t="e">
        <f t="shared" si="0"/>
        <v>#N/A</v>
      </c>
      <c r="Y34" s="428">
        <f t="shared" si="1"/>
      </c>
      <c r="Z34" s="429">
        <f t="shared" si="2"/>
      </c>
    </row>
    <row r="35" spans="1:26" ht="12.75">
      <c r="A35" s="443">
        <f t="shared" si="8"/>
      </c>
      <c r="B35" s="444">
        <f t="shared" si="9"/>
      </c>
      <c r="C35" s="444">
        <f t="shared" si="4"/>
      </c>
      <c r="D35" s="24">
        <f t="shared" si="10"/>
      </c>
      <c r="E35" s="170">
        <f t="shared" si="5"/>
      </c>
      <c r="F35" s="170">
        <f t="shared" si="6"/>
      </c>
      <c r="G35" s="170">
        <f t="shared" si="18"/>
      </c>
      <c r="H35" s="170">
        <f t="shared" si="11"/>
      </c>
      <c r="I35" s="170">
        <f t="shared" si="12"/>
      </c>
      <c r="J35" s="170">
        <f t="shared" si="19"/>
      </c>
      <c r="K35" s="436">
        <f t="shared" si="7"/>
        <v>0</v>
      </c>
      <c r="L35" s="437"/>
      <c r="M35" s="438">
        <f>IF(A35="","",LOOKUP(A35,$O$9:O87,$Q$9:Q87))</f>
      </c>
      <c r="N35" s="438">
        <f t="shared" si="13"/>
      </c>
      <c r="O35" s="367">
        <f t="shared" si="14"/>
      </c>
      <c r="P35" s="439">
        <f t="shared" si="15"/>
      </c>
      <c r="Q35" s="440">
        <f t="shared" si="16"/>
      </c>
      <c r="R35" s="432">
        <f t="shared" si="20"/>
      </c>
      <c r="S35" s="432">
        <f t="shared" si="17"/>
      </c>
      <c r="T35" s="420">
        <v>1992</v>
      </c>
      <c r="U35" s="426">
        <v>33700</v>
      </c>
      <c r="V35" s="427">
        <v>33700</v>
      </c>
      <c r="W35" s="430">
        <f t="shared" si="3"/>
        <v>1.046583850931677</v>
      </c>
      <c r="X35" s="428" t="e">
        <f t="shared" si="0"/>
        <v>#N/A</v>
      </c>
      <c r="Y35" s="428">
        <f t="shared" si="1"/>
      </c>
      <c r="Z35" s="429">
        <f t="shared" si="2"/>
      </c>
    </row>
    <row r="36" spans="1:26" ht="12.75">
      <c r="A36" s="443">
        <f t="shared" si="8"/>
      </c>
      <c r="B36" s="444">
        <f t="shared" si="9"/>
      </c>
      <c r="C36" s="444">
        <f t="shared" si="4"/>
      </c>
      <c r="D36" s="24">
        <f t="shared" si="10"/>
      </c>
      <c r="E36" s="170">
        <f t="shared" si="5"/>
      </c>
      <c r="F36" s="170">
        <f t="shared" si="6"/>
      </c>
      <c r="G36" s="170">
        <f t="shared" si="18"/>
      </c>
      <c r="H36" s="170">
        <f t="shared" si="11"/>
      </c>
      <c r="I36" s="170">
        <f t="shared" si="12"/>
      </c>
      <c r="J36" s="170">
        <f t="shared" si="19"/>
      </c>
      <c r="K36" s="436">
        <f t="shared" si="7"/>
        <v>0</v>
      </c>
      <c r="L36" s="437"/>
      <c r="M36" s="438">
        <f>IF(A36="","",LOOKUP(A36,$O$9:O88,$Q$9:Q88))</f>
      </c>
      <c r="N36" s="438">
        <f t="shared" si="13"/>
      </c>
      <c r="O36" s="367">
        <f t="shared" si="14"/>
      </c>
      <c r="P36" s="439">
        <f t="shared" si="15"/>
      </c>
      <c r="Q36" s="440">
        <f t="shared" si="16"/>
      </c>
      <c r="R36" s="432">
        <f t="shared" si="20"/>
      </c>
      <c r="S36" s="432">
        <f t="shared" si="17"/>
      </c>
      <c r="T36" s="420">
        <v>1993</v>
      </c>
      <c r="U36" s="426">
        <v>34400</v>
      </c>
      <c r="V36" s="427">
        <v>34400</v>
      </c>
      <c r="W36" s="430">
        <f t="shared" si="3"/>
        <v>1.0207715133531157</v>
      </c>
      <c r="X36" s="428" t="e">
        <f t="shared" si="0"/>
        <v>#N/A</v>
      </c>
      <c r="Y36" s="428">
        <f t="shared" si="1"/>
      </c>
      <c r="Z36" s="429">
        <f t="shared" si="2"/>
      </c>
    </row>
    <row r="37" spans="1:26" ht="12.75">
      <c r="A37" s="443">
        <f t="shared" si="8"/>
      </c>
      <c r="B37" s="444">
        <f t="shared" si="9"/>
      </c>
      <c r="C37" s="444">
        <f t="shared" si="4"/>
      </c>
      <c r="D37" s="24">
        <f t="shared" si="10"/>
      </c>
      <c r="E37" s="170">
        <f t="shared" si="5"/>
      </c>
      <c r="F37" s="170">
        <f t="shared" si="6"/>
      </c>
      <c r="G37" s="170">
        <f t="shared" si="18"/>
      </c>
      <c r="H37" s="170">
        <f t="shared" si="11"/>
      </c>
      <c r="I37" s="170">
        <f t="shared" si="12"/>
      </c>
      <c r="J37" s="170">
        <f t="shared" si="19"/>
      </c>
      <c r="K37" s="436">
        <f t="shared" si="7"/>
        <v>0</v>
      </c>
      <c r="L37" s="437"/>
      <c r="M37" s="438">
        <f>IF(A37="","",LOOKUP(A37,$O$9:O89,$Q$9:Q89))</f>
      </c>
      <c r="N37" s="438">
        <f t="shared" si="13"/>
      </c>
      <c r="O37" s="367">
        <f t="shared" si="14"/>
      </c>
      <c r="P37" s="439">
        <f t="shared" si="15"/>
      </c>
      <c r="Q37" s="440">
        <f t="shared" si="16"/>
      </c>
      <c r="R37" s="432">
        <f t="shared" si="20"/>
      </c>
      <c r="S37" s="432">
        <f t="shared" si="17"/>
      </c>
      <c r="T37" s="420">
        <v>1994</v>
      </c>
      <c r="U37" s="426">
        <v>35200</v>
      </c>
      <c r="V37" s="441">
        <v>35200</v>
      </c>
      <c r="W37" s="430">
        <f t="shared" si="3"/>
        <v>1.0232558139534884</v>
      </c>
      <c r="X37" s="428" t="e">
        <f t="shared" si="0"/>
        <v>#N/A</v>
      </c>
      <c r="Y37" s="428">
        <f t="shared" si="1"/>
      </c>
      <c r="Z37" s="429">
        <f t="shared" si="2"/>
      </c>
    </row>
    <row r="38" spans="1:26" ht="12.75">
      <c r="A38" s="443">
        <f t="shared" si="8"/>
      </c>
      <c r="B38" s="444">
        <f t="shared" si="9"/>
      </c>
      <c r="C38" s="444">
        <f t="shared" si="4"/>
      </c>
      <c r="D38" s="24">
        <f t="shared" si="10"/>
      </c>
      <c r="E38" s="170">
        <f t="shared" si="5"/>
      </c>
      <c r="F38" s="170">
        <f t="shared" si="6"/>
      </c>
      <c r="G38" s="170">
        <f t="shared" si="18"/>
      </c>
      <c r="H38" s="170">
        <f t="shared" si="11"/>
      </c>
      <c r="I38" s="170">
        <f t="shared" si="12"/>
      </c>
      <c r="J38" s="170">
        <f t="shared" si="19"/>
      </c>
      <c r="K38" s="436">
        <f t="shared" si="7"/>
        <v>0</v>
      </c>
      <c r="L38" s="437"/>
      <c r="M38" s="438">
        <f>IF(A38="","",LOOKUP(A38,$O$9:O90,$Q$9:Q90))</f>
      </c>
      <c r="N38" s="438">
        <f t="shared" si="13"/>
      </c>
      <c r="O38" s="367">
        <f t="shared" si="14"/>
      </c>
      <c r="P38" s="439">
        <f t="shared" si="15"/>
      </c>
      <c r="Q38" s="440">
        <f t="shared" si="16"/>
      </c>
      <c r="R38" s="432">
        <f t="shared" si="20"/>
      </c>
      <c r="S38" s="432">
        <f t="shared" si="17"/>
      </c>
      <c r="T38" s="420">
        <v>1995</v>
      </c>
      <c r="U38" s="426">
        <v>35700</v>
      </c>
      <c r="V38" s="442">
        <v>36000</v>
      </c>
      <c r="W38" s="430">
        <f t="shared" si="3"/>
        <v>1.0142045454545454</v>
      </c>
      <c r="X38" s="428" t="e">
        <f t="shared" si="0"/>
        <v>#N/A</v>
      </c>
      <c r="Y38" s="428">
        <f t="shared" si="1"/>
      </c>
      <c r="Z38" s="429">
        <f t="shared" si="2"/>
      </c>
    </row>
    <row r="39" spans="1:26" ht="12.75">
      <c r="A39" s="443">
        <f t="shared" si="8"/>
      </c>
      <c r="B39" s="444">
        <f t="shared" si="9"/>
      </c>
      <c r="C39" s="444">
        <f t="shared" si="4"/>
      </c>
      <c r="D39" s="24">
        <f t="shared" si="10"/>
      </c>
      <c r="E39" s="170">
        <f t="shared" si="5"/>
      </c>
      <c r="F39" s="170">
        <f t="shared" si="6"/>
      </c>
      <c r="G39" s="170">
        <f t="shared" si="18"/>
      </c>
      <c r="H39" s="170">
        <f t="shared" si="11"/>
      </c>
      <c r="I39" s="170">
        <f t="shared" si="12"/>
      </c>
      <c r="J39" s="170">
        <f t="shared" si="19"/>
      </c>
      <c r="K39" s="436">
        <f t="shared" si="7"/>
        <v>0</v>
      </c>
      <c r="L39" s="437"/>
      <c r="M39" s="438">
        <f>IF(A39="","",LOOKUP(A39,$O$9:O91,$Q$9:Q91))</f>
      </c>
      <c r="N39" s="438">
        <f t="shared" si="13"/>
      </c>
      <c r="O39" s="367">
        <f t="shared" si="14"/>
      </c>
      <c r="P39" s="439">
        <f t="shared" si="15"/>
      </c>
      <c r="Q39" s="440">
        <f t="shared" si="16"/>
      </c>
      <c r="R39" s="432">
        <f t="shared" si="20"/>
      </c>
      <c r="S39" s="432">
        <f t="shared" si="17"/>
      </c>
      <c r="T39" s="420">
        <v>1996</v>
      </c>
      <c r="U39" s="426">
        <v>36200</v>
      </c>
      <c r="V39" s="442">
        <v>36800</v>
      </c>
      <c r="W39" s="430">
        <f t="shared" si="3"/>
        <v>1.0140056022408963</v>
      </c>
      <c r="X39" s="428" t="e">
        <f t="shared" si="0"/>
        <v>#N/A</v>
      </c>
      <c r="Y39" s="428">
        <f t="shared" si="1"/>
      </c>
      <c r="Z39" s="429">
        <f t="shared" si="2"/>
      </c>
    </row>
    <row r="40" spans="1:26" ht="12.75">
      <c r="A40" s="443">
        <f t="shared" si="8"/>
      </c>
      <c r="B40" s="444">
        <f t="shared" si="9"/>
      </c>
      <c r="C40" s="444">
        <f t="shared" si="4"/>
      </c>
      <c r="D40" s="24">
        <f t="shared" si="10"/>
      </c>
      <c r="E40" s="170">
        <f t="shared" si="5"/>
      </c>
      <c r="F40" s="170">
        <f t="shared" si="6"/>
      </c>
      <c r="G40" s="170">
        <f t="shared" si="18"/>
      </c>
      <c r="H40" s="170">
        <f t="shared" si="11"/>
      </c>
      <c r="I40" s="170">
        <f t="shared" si="12"/>
      </c>
      <c r="J40" s="170">
        <f t="shared" si="19"/>
      </c>
      <c r="K40" s="436">
        <f t="shared" si="7"/>
        <v>0</v>
      </c>
      <c r="L40" s="437"/>
      <c r="M40" s="438">
        <f>IF(A40="","",LOOKUP(A40,$O$9:O92,$Q$9:Q92))</f>
      </c>
      <c r="N40" s="438">
        <f t="shared" si="13"/>
      </c>
      <c r="O40" s="367">
        <f t="shared" si="14"/>
      </c>
      <c r="P40" s="439">
        <f t="shared" si="15"/>
      </c>
      <c r="Q40" s="440">
        <f t="shared" si="16"/>
      </c>
      <c r="R40" s="432">
        <f t="shared" si="20"/>
      </c>
      <c r="S40" s="432">
        <f t="shared" si="17"/>
      </c>
      <c r="T40" s="420">
        <v>1997</v>
      </c>
      <c r="U40" s="426">
        <v>36300</v>
      </c>
      <c r="V40" s="442">
        <v>37000</v>
      </c>
      <c r="W40" s="430">
        <f t="shared" si="3"/>
        <v>1.0027624309392265</v>
      </c>
      <c r="X40" s="428" t="e">
        <f t="shared" si="0"/>
        <v>#N/A</v>
      </c>
      <c r="Y40" s="428">
        <f t="shared" si="1"/>
      </c>
      <c r="Z40" s="429">
        <f t="shared" si="2"/>
      </c>
    </row>
    <row r="41" spans="1:26" ht="12.75">
      <c r="A41" s="443">
        <f t="shared" si="8"/>
      </c>
      <c r="B41" s="444">
        <f t="shared" si="9"/>
      </c>
      <c r="C41" s="444">
        <f t="shared" si="4"/>
      </c>
      <c r="D41" s="24">
        <f t="shared" si="10"/>
      </c>
      <c r="E41" s="170">
        <f t="shared" si="5"/>
      </c>
      <c r="F41" s="170">
        <f t="shared" si="6"/>
      </c>
      <c r="G41" s="170">
        <f t="shared" si="18"/>
      </c>
      <c r="H41" s="170">
        <f t="shared" si="11"/>
      </c>
      <c r="I41" s="170">
        <f t="shared" si="12"/>
      </c>
      <c r="J41" s="170">
        <f t="shared" si="19"/>
      </c>
      <c r="K41" s="436">
        <f t="shared" si="7"/>
        <v>0</v>
      </c>
      <c r="L41" s="437"/>
      <c r="M41" s="438">
        <f>IF(A41="","",LOOKUP(A41,$O$9:O93,$Q$9:Q93))</f>
      </c>
      <c r="N41" s="438">
        <f t="shared" si="13"/>
      </c>
      <c r="O41" s="367">
        <f t="shared" si="14"/>
      </c>
      <c r="P41" s="439">
        <f t="shared" si="15"/>
      </c>
      <c r="Q41" s="440">
        <f t="shared" si="16"/>
      </c>
      <c r="R41" s="432">
        <f t="shared" si="20"/>
      </c>
      <c r="S41" s="432">
        <f t="shared" si="17"/>
      </c>
      <c r="T41" s="420">
        <v>1998</v>
      </c>
      <c r="U41" s="426">
        <v>36400</v>
      </c>
      <c r="V41" s="442">
        <v>37100</v>
      </c>
      <c r="W41" s="430">
        <f t="shared" si="3"/>
        <v>1.002754820936639</v>
      </c>
      <c r="X41" s="428" t="e">
        <f t="shared" si="0"/>
        <v>#N/A</v>
      </c>
      <c r="Y41" s="428">
        <f t="shared" si="1"/>
      </c>
      <c r="Z41" s="429">
        <f t="shared" si="2"/>
      </c>
    </row>
    <row r="42" spans="1:26" ht="12.75">
      <c r="A42" s="443">
        <f t="shared" si="8"/>
      </c>
      <c r="B42" s="444">
        <f t="shared" si="9"/>
      </c>
      <c r="C42" s="444">
        <f t="shared" si="4"/>
      </c>
      <c r="D42" s="24">
        <f t="shared" si="10"/>
      </c>
      <c r="E42" s="170">
        <f t="shared" si="5"/>
      </c>
      <c r="F42" s="170">
        <f t="shared" si="6"/>
      </c>
      <c r="G42" s="170">
        <f t="shared" si="18"/>
      </c>
      <c r="H42" s="170">
        <f t="shared" si="11"/>
      </c>
      <c r="I42" s="170">
        <f t="shared" si="12"/>
      </c>
      <c r="J42" s="170">
        <f t="shared" si="19"/>
      </c>
      <c r="K42" s="436">
        <f t="shared" si="7"/>
        <v>0</v>
      </c>
      <c r="L42" s="437"/>
      <c r="M42" s="438">
        <f>IF(A42="","",LOOKUP(A42,$O$9:O94,$Q$9:Q94))</f>
      </c>
      <c r="N42" s="438">
        <f t="shared" si="13"/>
      </c>
      <c r="O42" s="367">
        <f t="shared" si="14"/>
      </c>
      <c r="P42" s="439">
        <f t="shared" si="15"/>
      </c>
      <c r="Q42" s="440">
        <f t="shared" si="16"/>
      </c>
      <c r="R42" s="432">
        <f t="shared" si="20"/>
      </c>
      <c r="S42" s="432">
        <f t="shared" si="17"/>
      </c>
      <c r="T42" s="420">
        <v>1999</v>
      </c>
      <c r="U42" s="426">
        <v>36400</v>
      </c>
      <c r="V42" s="442">
        <v>37200</v>
      </c>
      <c r="W42" s="430">
        <f t="shared" si="3"/>
        <v>1</v>
      </c>
      <c r="X42" s="428" t="e">
        <f t="shared" si="0"/>
        <v>#N/A</v>
      </c>
      <c r="Y42" s="428">
        <f t="shared" si="1"/>
      </c>
      <c r="Z42" s="429">
        <f t="shared" si="2"/>
      </c>
    </row>
    <row r="43" spans="1:26" ht="12.75">
      <c r="A43" s="443">
        <f t="shared" si="8"/>
      </c>
      <c r="B43" s="444">
        <f t="shared" si="9"/>
      </c>
      <c r="C43" s="444">
        <f t="shared" si="4"/>
      </c>
      <c r="D43" s="24">
        <f t="shared" si="10"/>
      </c>
      <c r="E43" s="170">
        <f t="shared" si="5"/>
      </c>
      <c r="F43" s="170">
        <f t="shared" si="6"/>
      </c>
      <c r="G43" s="170">
        <f t="shared" si="18"/>
      </c>
      <c r="H43" s="170">
        <f t="shared" si="11"/>
      </c>
      <c r="I43" s="170">
        <f t="shared" si="12"/>
      </c>
      <c r="J43" s="170">
        <f t="shared" si="19"/>
      </c>
      <c r="K43" s="436">
        <f t="shared" si="7"/>
        <v>0</v>
      </c>
      <c r="L43" s="437"/>
      <c r="M43" s="438">
        <f>IF(A43="","",LOOKUP(A43,$O$9:O95,$Q$9:Q95))</f>
      </c>
      <c r="N43" s="438">
        <f t="shared" si="13"/>
      </c>
      <c r="O43" s="367">
        <f t="shared" si="14"/>
      </c>
      <c r="P43" s="439">
        <f t="shared" si="15"/>
      </c>
      <c r="Q43" s="440">
        <f t="shared" si="16"/>
      </c>
      <c r="R43" s="432">
        <f t="shared" si="20"/>
      </c>
      <c r="S43" s="432">
        <f t="shared" si="17"/>
      </c>
      <c r="T43" s="420">
        <v>2000</v>
      </c>
      <c r="U43" s="426">
        <v>36600</v>
      </c>
      <c r="V43" s="442">
        <v>37300</v>
      </c>
      <c r="W43" s="430">
        <f t="shared" si="3"/>
        <v>1.0054945054945055</v>
      </c>
      <c r="X43" s="428" t="e">
        <f t="shared" si="0"/>
        <v>#N/A</v>
      </c>
      <c r="Y43" s="428">
        <f t="shared" si="1"/>
      </c>
      <c r="Z43" s="429">
        <f t="shared" si="2"/>
      </c>
    </row>
    <row r="44" spans="1:26" ht="12.75">
      <c r="A44" s="298"/>
      <c r="B44" s="298"/>
      <c r="C44" s="298"/>
      <c r="D44" s="438">
        <f>IF(C44="","",LOOKUP(C44,$O$9:$O$43,$P$9:$P$43))</f>
      </c>
      <c r="E44" s="170">
        <f>IF(C44="C",LOOKUP(A44,$T$3:$T$61,$U$3:$U$61),"")</f>
      </c>
      <c r="F44" s="298"/>
      <c r="G44" s="298"/>
      <c r="H44" s="170">
        <f t="shared" si="11"/>
      </c>
      <c r="I44" s="298"/>
      <c r="J44" s="298"/>
      <c r="K44" s="298"/>
      <c r="L44" s="437"/>
      <c r="M44" s="438">
        <f>IF(A44="","",LOOKUP(A44,$O$9:O96,$Q$9:Q96))</f>
      </c>
      <c r="N44" s="298"/>
      <c r="O44" s="367">
        <f t="shared" si="14"/>
      </c>
      <c r="P44" s="439">
        <f t="shared" si="15"/>
      </c>
      <c r="Q44" s="440">
        <f t="shared" si="16"/>
      </c>
      <c r="R44" s="432">
        <f t="shared" si="20"/>
      </c>
      <c r="S44" s="432">
        <f t="shared" si="17"/>
      </c>
      <c r="T44" s="420">
        <v>2001</v>
      </c>
      <c r="U44" s="426">
        <v>36900</v>
      </c>
      <c r="V44" s="442">
        <v>37700</v>
      </c>
      <c r="W44" s="430">
        <f t="shared" si="3"/>
        <v>1.0081967213114753</v>
      </c>
      <c r="X44" s="428" t="e">
        <f t="shared" si="0"/>
        <v>#N/A</v>
      </c>
      <c r="Y44" s="428">
        <f t="shared" si="1"/>
      </c>
      <c r="Z44" s="429">
        <f t="shared" si="2"/>
      </c>
    </row>
    <row r="45" spans="13:26" ht="12.75">
      <c r="M45" s="438">
        <f>IF(A45="","",LOOKUP(A45,$O$9:O97,$Q$9:Q97))</f>
      </c>
      <c r="N45" s="298"/>
      <c r="O45" s="367">
        <f t="shared" si="14"/>
      </c>
      <c r="P45" s="439">
        <f t="shared" si="15"/>
      </c>
      <c r="Q45" s="440">
        <f t="shared" si="16"/>
      </c>
      <c r="R45" s="432">
        <f t="shared" si="20"/>
      </c>
      <c r="S45" s="432">
        <f t="shared" si="17"/>
      </c>
      <c r="T45" s="420">
        <v>2002</v>
      </c>
      <c r="U45" s="426">
        <v>37900</v>
      </c>
      <c r="V45" s="442">
        <v>38700</v>
      </c>
      <c r="W45" s="430">
        <f t="shared" si="3"/>
        <v>1.02710027100271</v>
      </c>
      <c r="X45" s="428" t="e">
        <f t="shared" si="0"/>
        <v>#N/A</v>
      </c>
      <c r="Y45" s="428">
        <f t="shared" si="1"/>
      </c>
      <c r="Z45" s="429">
        <f t="shared" si="2"/>
      </c>
    </row>
    <row r="46" spans="13:26" ht="12.75">
      <c r="M46" s="438">
        <f>IF(A46="","",LOOKUP(A46,$O$9:O98,$Q$9:Q98))</f>
      </c>
      <c r="N46" s="298"/>
      <c r="O46" s="367">
        <f t="shared" si="14"/>
      </c>
      <c r="P46" s="439">
        <f t="shared" si="15"/>
      </c>
      <c r="Q46" s="440">
        <f t="shared" si="16"/>
      </c>
      <c r="R46" s="432">
        <f t="shared" si="20"/>
      </c>
      <c r="S46" s="432">
        <f t="shared" si="17"/>
      </c>
      <c r="T46" s="420">
        <v>2003</v>
      </c>
      <c r="U46" s="426">
        <v>38600</v>
      </c>
      <c r="V46" s="442">
        <v>39400</v>
      </c>
      <c r="W46" s="430">
        <f t="shared" si="3"/>
        <v>1.0184696569920844</v>
      </c>
      <c r="X46" s="428" t="e">
        <f t="shared" si="0"/>
        <v>#N/A</v>
      </c>
      <c r="Y46" s="428">
        <f t="shared" si="1"/>
      </c>
      <c r="Z46" s="429">
        <f t="shared" si="2"/>
      </c>
    </row>
    <row r="47" spans="13:26" ht="12.75">
      <c r="M47" s="438">
        <f>IF(A47="","",LOOKUP(A47,$O$9:O99,$Q$9:Q99))</f>
      </c>
      <c r="N47" s="298"/>
      <c r="O47" s="367">
        <f t="shared" si="14"/>
      </c>
      <c r="P47" s="439">
        <f t="shared" si="15"/>
      </c>
      <c r="Q47" s="440">
        <f t="shared" si="16"/>
      </c>
      <c r="R47" s="432">
        <f t="shared" si="20"/>
      </c>
      <c r="S47" s="432">
        <f t="shared" si="17"/>
      </c>
      <c r="T47" s="420">
        <v>2004</v>
      </c>
      <c r="U47" s="426">
        <v>39300</v>
      </c>
      <c r="V47" s="442">
        <v>40100</v>
      </c>
      <c r="W47" s="430">
        <f t="shared" si="3"/>
        <v>1.0181347150259068</v>
      </c>
      <c r="X47" s="428" t="e">
        <f t="shared" si="0"/>
        <v>#N/A</v>
      </c>
      <c r="Y47" s="428">
        <f t="shared" si="1"/>
      </c>
      <c r="Z47" s="429">
        <f t="shared" si="2"/>
      </c>
    </row>
    <row r="48" spans="13:26" ht="12.75">
      <c r="M48" s="438">
        <f>IF(A48="","",LOOKUP(A48,$O$9:O100,$Q$9:Q100))</f>
      </c>
      <c r="N48" s="298"/>
      <c r="O48" s="367">
        <f t="shared" si="14"/>
      </c>
      <c r="P48" s="439">
        <f t="shared" si="15"/>
      </c>
      <c r="Q48" s="440">
        <f t="shared" si="16"/>
      </c>
      <c r="R48" s="432">
        <f t="shared" si="20"/>
      </c>
      <c r="S48" s="432">
        <f t="shared" si="17"/>
      </c>
      <c r="T48" s="420">
        <v>2005</v>
      </c>
      <c r="U48" s="426">
        <v>39400</v>
      </c>
      <c r="V48" s="442">
        <v>40300</v>
      </c>
      <c r="W48" s="430">
        <f t="shared" si="3"/>
        <v>1.0025445292620865</v>
      </c>
      <c r="X48" s="428" t="e">
        <f t="shared" si="0"/>
        <v>#N/A</v>
      </c>
      <c r="Y48" s="428">
        <f t="shared" si="1"/>
      </c>
      <c r="Z48" s="429">
        <f t="shared" si="2"/>
      </c>
    </row>
    <row r="49" spans="13:26" ht="12.75">
      <c r="M49" s="438">
        <f>IF(A49="","",LOOKUP(A49,$O$9:O101,$Q$9:Q101))</f>
      </c>
      <c r="N49" s="298"/>
      <c r="O49" s="367">
        <f t="shared" si="14"/>
      </c>
      <c r="P49" s="439">
        <f t="shared" si="15"/>
      </c>
      <c r="Q49" s="440">
        <f t="shared" si="16"/>
      </c>
      <c r="R49" s="432">
        <f t="shared" si="20"/>
      </c>
      <c r="S49" s="432">
        <f t="shared" si="17"/>
      </c>
      <c r="T49" s="420">
        <v>2006</v>
      </c>
      <c r="U49" s="426">
        <v>39700</v>
      </c>
      <c r="V49" s="442">
        <v>40500</v>
      </c>
      <c r="W49" s="430">
        <f t="shared" si="3"/>
        <v>1.0076142131979695</v>
      </c>
      <c r="X49" s="428" t="e">
        <f t="shared" si="0"/>
        <v>#N/A</v>
      </c>
      <c r="Y49" s="428">
        <f t="shared" si="1"/>
      </c>
      <c r="Z49" s="429">
        <f t="shared" si="2"/>
      </c>
    </row>
    <row r="50" spans="13:26" ht="12.75">
      <c r="M50" s="438">
        <f>IF(A50="","",LOOKUP(A50,$O$9:O102,$Q$9:Q102))</f>
      </c>
      <c r="N50" s="298"/>
      <c r="O50" s="367">
        <f t="shared" si="14"/>
      </c>
      <c r="P50" s="439">
        <f t="shared" si="15"/>
      </c>
      <c r="Q50" s="440">
        <f t="shared" si="16"/>
      </c>
      <c r="R50" s="432">
        <f t="shared" si="20"/>
      </c>
      <c r="S50" s="432">
        <f t="shared" si="17"/>
      </c>
      <c r="T50" s="420">
        <v>2007</v>
      </c>
      <c r="U50" s="426">
        <v>40300</v>
      </c>
      <c r="V50" s="442">
        <v>41100</v>
      </c>
      <c r="W50" s="430">
        <f t="shared" si="3"/>
        <v>1.0151133501259446</v>
      </c>
      <c r="X50" s="428" t="e">
        <f t="shared" si="0"/>
        <v>#N/A</v>
      </c>
      <c r="Y50" s="428">
        <f t="shared" si="1"/>
      </c>
      <c r="Z50" s="429">
        <f t="shared" si="2"/>
      </c>
    </row>
    <row r="51" spans="13:26" ht="12.75">
      <c r="M51" s="438">
        <f>IF(A51="","",LOOKUP(A51,$O$9:O103,$Q$9:Q103))</f>
      </c>
      <c r="N51" s="298"/>
      <c r="O51" s="367">
        <f t="shared" si="14"/>
      </c>
      <c r="P51" s="439">
        <f t="shared" si="15"/>
      </c>
      <c r="Q51" s="440">
        <f t="shared" si="16"/>
      </c>
      <c r="R51" s="432">
        <f t="shared" si="20"/>
      </c>
      <c r="S51" s="432">
        <f t="shared" si="17"/>
      </c>
      <c r="T51" s="420">
        <v>2008</v>
      </c>
      <c r="U51" s="426">
        <v>41000</v>
      </c>
      <c r="V51" s="442">
        <v>41800</v>
      </c>
      <c r="W51" s="430">
        <f t="shared" si="3"/>
        <v>1.0173697270471465</v>
      </c>
      <c r="X51" s="428" t="e">
        <f t="shared" si="0"/>
        <v>#N/A</v>
      </c>
      <c r="Y51" s="428">
        <f t="shared" si="1"/>
      </c>
      <c r="Z51" s="429">
        <f t="shared" si="2"/>
      </c>
    </row>
    <row r="52" spans="13:26" ht="12.75">
      <c r="M52" s="438">
        <f>IF(A52="","",LOOKUP(A52,$O$9:O104,$Q$9:Q104))</f>
      </c>
      <c r="N52" s="298"/>
      <c r="O52" s="367">
        <f t="shared" si="14"/>
      </c>
      <c r="P52" s="439">
        <f t="shared" si="15"/>
      </c>
      <c r="Q52" s="440">
        <f t="shared" si="16"/>
      </c>
      <c r="R52" s="432">
        <f t="shared" si="20"/>
      </c>
      <c r="S52" s="432">
        <f t="shared" si="17"/>
      </c>
      <c r="T52" s="420">
        <v>2009</v>
      </c>
      <c r="U52" s="426">
        <v>42800</v>
      </c>
      <c r="V52" s="426">
        <v>43600</v>
      </c>
      <c r="W52" s="430">
        <f t="shared" si="3"/>
        <v>1.0439024390243903</v>
      </c>
      <c r="X52" s="428" t="e">
        <f t="shared" si="0"/>
        <v>#N/A</v>
      </c>
      <c r="Y52" s="428">
        <f t="shared" si="1"/>
      </c>
      <c r="Z52" s="429">
        <f t="shared" si="2"/>
      </c>
    </row>
    <row r="53" spans="13:26" ht="12.75">
      <c r="M53" s="438">
        <f>IF(A53="","",LOOKUP(A53,$O$9:O105,$Q$9:Q105))</f>
      </c>
      <c r="N53" s="298"/>
      <c r="O53" s="367">
        <f t="shared" si="14"/>
      </c>
      <c r="P53" s="439">
        <f t="shared" si="15"/>
      </c>
      <c r="Q53" s="440">
        <f t="shared" si="16"/>
      </c>
      <c r="R53" s="432">
        <f t="shared" si="20"/>
      </c>
      <c r="S53" s="432">
        <f t="shared" si="17"/>
      </c>
      <c r="T53" s="420">
        <v>2010</v>
      </c>
      <c r="U53" s="426">
        <f>SUM('uppdat-hjälpberäkn'!I54)</f>
        <v>42400</v>
      </c>
      <c r="V53" s="426">
        <f>SUM('uppdat-hjälpberäkn'!J54)</f>
        <v>43300</v>
      </c>
      <c r="W53" s="430">
        <f t="shared" si="3"/>
        <v>0.9906542056074766</v>
      </c>
      <c r="X53" s="428" t="e">
        <f t="shared" si="0"/>
        <v>#N/A</v>
      </c>
      <c r="Y53" s="428">
        <f t="shared" si="1"/>
      </c>
      <c r="Z53" s="429">
        <f t="shared" si="2"/>
      </c>
    </row>
    <row r="54" spans="13:26" ht="12.75">
      <c r="M54" s="438">
        <f>IF(A54="","",LOOKUP(A54,$O$9:O106,$Q$9:Q106))</f>
      </c>
      <c r="N54" s="298"/>
      <c r="O54" s="367">
        <f t="shared" si="14"/>
      </c>
      <c r="P54" s="439">
        <f t="shared" si="15"/>
      </c>
      <c r="Q54" s="440">
        <f t="shared" si="16"/>
      </c>
      <c r="R54" s="432">
        <f t="shared" si="20"/>
      </c>
      <c r="S54" s="432">
        <f t="shared" si="17"/>
      </c>
      <c r="T54" s="420">
        <v>2011</v>
      </c>
      <c r="U54" s="426">
        <f>SUM('uppdat-hjälpberäkn'!I55)</f>
        <v>42800</v>
      </c>
      <c r="V54" s="426">
        <f>SUM('uppdat-hjälpberäkn'!J55)</f>
        <v>43700</v>
      </c>
      <c r="W54" s="430">
        <f t="shared" si="3"/>
        <v>1.009433962264151</v>
      </c>
      <c r="X54" s="428" t="e">
        <f t="shared" si="0"/>
        <v>#N/A</v>
      </c>
      <c r="Y54" s="428">
        <f t="shared" si="1"/>
      </c>
      <c r="Z54" s="429">
        <f t="shared" si="2"/>
      </c>
    </row>
    <row r="55" spans="13:26" ht="12.75">
      <c r="M55" s="438">
        <f>IF(A55="","",LOOKUP(A55,$O$9:O107,$Q$9:Q107))</f>
      </c>
      <c r="N55" s="298"/>
      <c r="O55" s="367">
        <f t="shared" si="14"/>
      </c>
      <c r="P55" s="439">
        <f t="shared" si="15"/>
      </c>
      <c r="Q55" s="440">
        <f t="shared" si="16"/>
      </c>
      <c r="R55" s="432">
        <f t="shared" si="20"/>
      </c>
      <c r="S55" s="432">
        <f t="shared" si="17"/>
      </c>
      <c r="T55" s="420">
        <v>2012</v>
      </c>
      <c r="U55" s="426">
        <f>SUM('uppdat-hjälpberäkn'!I56)</f>
        <v>44000</v>
      </c>
      <c r="V55" s="426">
        <f>SUM('uppdat-hjälpberäkn'!J56)</f>
        <v>44900</v>
      </c>
      <c r="W55" s="430">
        <f t="shared" si="3"/>
        <v>1.02803738317757</v>
      </c>
      <c r="X55" s="428" t="e">
        <f t="shared" si="0"/>
        <v>#N/A</v>
      </c>
      <c r="Y55" s="428">
        <f t="shared" si="1"/>
      </c>
      <c r="Z55" s="429">
        <f t="shared" si="2"/>
      </c>
    </row>
    <row r="56" spans="13:26" ht="12.75">
      <c r="M56" s="438">
        <f>IF(A56="","",LOOKUP(A56,$O$9:O108,$Q$9:Q108))</f>
      </c>
      <c r="N56" s="298"/>
      <c r="O56" s="367">
        <f t="shared" si="14"/>
      </c>
      <c r="P56" s="439">
        <f t="shared" si="15"/>
      </c>
      <c r="Q56" s="440">
        <f t="shared" si="16"/>
      </c>
      <c r="R56" s="432">
        <f t="shared" si="20"/>
      </c>
      <c r="S56" s="432">
        <f t="shared" si="17"/>
      </c>
      <c r="T56" s="420">
        <v>2013</v>
      </c>
      <c r="U56" s="426">
        <f>SUM('uppdat-hjälpberäkn'!I57)</f>
        <v>44500</v>
      </c>
      <c r="V56" s="426">
        <f>SUM('uppdat-hjälpberäkn'!J57)</f>
        <v>45400</v>
      </c>
      <c r="W56" s="430">
        <f t="shared" si="3"/>
        <v>1.0113636363636365</v>
      </c>
      <c r="X56" s="428" t="e">
        <f t="shared" si="0"/>
        <v>#N/A</v>
      </c>
      <c r="Y56" s="428">
        <f t="shared" si="1"/>
      </c>
      <c r="Z56" s="429">
        <f t="shared" si="2"/>
      </c>
    </row>
    <row r="57" spans="13:26" ht="12.75">
      <c r="M57" s="438">
        <f>IF(A57="","",LOOKUP(A57,$O$9:O109,$Q$9:Q109))</f>
      </c>
      <c r="N57" s="298"/>
      <c r="O57" s="367">
        <f t="shared" si="14"/>
      </c>
      <c r="P57" s="439">
        <f t="shared" si="15"/>
      </c>
      <c r="Q57" s="440">
        <f t="shared" si="16"/>
      </c>
      <c r="R57" s="432">
        <f t="shared" si="20"/>
      </c>
      <c r="S57" s="432">
        <f t="shared" si="17"/>
      </c>
      <c r="T57" s="420">
        <v>2014</v>
      </c>
      <c r="U57" s="426">
        <f>SUM('uppdat-hjälpberäkn'!I58)</f>
        <v>44400</v>
      </c>
      <c r="V57" s="426">
        <f>SUM('uppdat-hjälpberäkn'!J58)</f>
        <v>45300</v>
      </c>
      <c r="W57" s="430">
        <f t="shared" si="3"/>
        <v>0.9977528089887641</v>
      </c>
      <c r="X57" s="428" t="e">
        <f t="shared" si="0"/>
        <v>#N/A</v>
      </c>
      <c r="Y57" s="428">
        <f t="shared" si="1"/>
      </c>
      <c r="Z57" s="429">
        <f t="shared" si="2"/>
      </c>
    </row>
    <row r="58" spans="13:26" ht="12.75">
      <c r="M58" s="438">
        <f>IF(A58="","",LOOKUP(A58,$O$9:O110,$Q$9:Q110))</f>
      </c>
      <c r="N58" s="298"/>
      <c r="O58" s="367">
        <f t="shared" si="14"/>
      </c>
      <c r="P58" s="439">
        <f t="shared" si="15"/>
      </c>
      <c r="Q58" s="440">
        <f t="shared" si="16"/>
      </c>
      <c r="R58" s="432">
        <f t="shared" si="20"/>
      </c>
      <c r="S58" s="432">
        <f t="shared" si="17"/>
      </c>
      <c r="T58" s="420">
        <v>2015</v>
      </c>
      <c r="U58" s="426">
        <f>SUM('uppdat-hjälpberäkn'!I59)</f>
        <v>44500</v>
      </c>
      <c r="V58" s="426">
        <f>SUM('uppdat-hjälpberäkn'!J59)</f>
        <v>45400</v>
      </c>
      <c r="W58" s="430">
        <f t="shared" si="3"/>
        <v>1.0022522522522523</v>
      </c>
      <c r="X58" s="428" t="e">
        <f t="shared" si="0"/>
        <v>#N/A</v>
      </c>
      <c r="Y58" s="428">
        <f t="shared" si="1"/>
      </c>
      <c r="Z58" s="429">
        <f t="shared" si="2"/>
      </c>
    </row>
    <row r="59" spans="13:26" ht="12.75">
      <c r="M59" s="438">
        <f>IF(A59="","",LOOKUP(A59,$O$9:O111,$Q$9:Q111))</f>
      </c>
      <c r="N59" s="298"/>
      <c r="O59" s="367">
        <f t="shared" si="14"/>
      </c>
      <c r="P59" s="439">
        <f t="shared" si="15"/>
      </c>
      <c r="Q59" s="440">
        <f t="shared" si="16"/>
      </c>
      <c r="R59" s="432">
        <f t="shared" si="20"/>
      </c>
      <c r="S59" s="432">
        <f t="shared" si="17"/>
      </c>
      <c r="T59" s="420">
        <v>2016</v>
      </c>
      <c r="U59" s="426">
        <f>SUM('uppdat-hjälpberäkn'!I60)</f>
        <v>44300</v>
      </c>
      <c r="V59" s="426">
        <f>SUM('uppdat-hjälpberäkn'!J60)</f>
        <v>45200</v>
      </c>
      <c r="W59" s="430">
        <f t="shared" si="3"/>
        <v>0.9955056179775281</v>
      </c>
      <c r="X59" s="428" t="e">
        <f t="shared" si="0"/>
        <v>#N/A</v>
      </c>
      <c r="Y59" s="428">
        <f t="shared" si="1"/>
      </c>
      <c r="Z59" s="429">
        <f t="shared" si="2"/>
      </c>
    </row>
    <row r="60" spans="13:26" ht="12.75">
      <c r="M60" s="438">
        <f>IF(A60="","",LOOKUP(A60,$O$9:O112,$Q$9:Q112))</f>
      </c>
      <c r="N60" s="298"/>
      <c r="O60" s="367">
        <f t="shared" si="14"/>
      </c>
      <c r="P60" s="439">
        <f t="shared" si="15"/>
      </c>
      <c r="Q60" s="440">
        <f t="shared" si="16"/>
      </c>
      <c r="R60" s="432">
        <f t="shared" si="20"/>
      </c>
      <c r="S60" s="432">
        <f t="shared" si="17"/>
      </c>
      <c r="T60" s="420">
        <v>2017</v>
      </c>
      <c r="U60" s="426">
        <f>SUM('uppdat-hjälpberäkn'!I61)</f>
        <v>44800</v>
      </c>
      <c r="V60" s="426">
        <f>SUM('uppdat-hjälpberäkn'!J61)</f>
        <v>45700</v>
      </c>
      <c r="W60" s="430">
        <f t="shared" si="3"/>
        <v>1.0112866817155757</v>
      </c>
      <c r="X60" s="428" t="e">
        <f t="shared" si="0"/>
        <v>#N/A</v>
      </c>
      <c r="Y60" s="428">
        <f t="shared" si="1"/>
      </c>
      <c r="Z60" s="429">
        <f t="shared" si="2"/>
      </c>
    </row>
    <row r="61" spans="13:26" ht="12.75">
      <c r="M61" s="438">
        <f>IF(A61="","",LOOKUP(A61,$O$9:O113,$Q$9:Q113))</f>
      </c>
      <c r="N61" s="298"/>
      <c r="O61" s="367">
        <f t="shared" si="14"/>
      </c>
      <c r="P61" s="439">
        <f t="shared" si="15"/>
      </c>
      <c r="Q61" s="440">
        <f t="shared" si="16"/>
      </c>
      <c r="R61" s="432">
        <f t="shared" si="20"/>
      </c>
      <c r="S61" s="432">
        <f t="shared" si="17"/>
      </c>
      <c r="T61" s="420">
        <v>2018</v>
      </c>
      <c r="U61" s="426">
        <f>SUM('uppdat-hjälpberäkn'!I62)</f>
        <v>45500</v>
      </c>
      <c r="V61" s="426">
        <f>SUM('uppdat-hjälpberäkn'!J62)</f>
        <v>46500</v>
      </c>
      <c r="W61" s="430">
        <f t="shared" si="3"/>
        <v>1.015625</v>
      </c>
      <c r="X61" s="428" t="e">
        <f t="shared" si="0"/>
        <v>#N/A</v>
      </c>
      <c r="Y61" s="428">
        <f t="shared" si="1"/>
      </c>
      <c r="Z61" s="429">
        <f t="shared" si="2"/>
      </c>
    </row>
    <row r="62" spans="20:26" ht="12.75">
      <c r="T62" s="420">
        <v>2019</v>
      </c>
      <c r="U62" s="426">
        <f>SUM('uppdat-hjälpberäkn'!I63)</f>
        <v>46500</v>
      </c>
      <c r="V62" s="426">
        <f>SUM('uppdat-hjälpberäkn'!J63)</f>
        <v>47400</v>
      </c>
      <c r="W62" s="430">
        <f t="shared" si="3"/>
        <v>1.021978021978022</v>
      </c>
      <c r="X62" s="428" t="e">
        <f t="shared" si="0"/>
        <v>#N/A</v>
      </c>
      <c r="Y62" s="428">
        <f t="shared" si="1"/>
      </c>
      <c r="Z62" s="429">
        <f t="shared" si="2"/>
      </c>
    </row>
    <row r="63" spans="20:26" ht="12.75">
      <c r="T63" s="420">
        <v>2020</v>
      </c>
      <c r="U63" s="426">
        <f>SUM('uppdat-hjälpberäkn'!I64)</f>
        <v>47300</v>
      </c>
      <c r="V63" s="426">
        <f>SUM('uppdat-hjälpberäkn'!J64)</f>
        <v>48300</v>
      </c>
      <c r="W63" s="430">
        <f t="shared" si="3"/>
        <v>1.0172043010752687</v>
      </c>
      <c r="X63" s="428" t="e">
        <f t="shared" si="0"/>
        <v>#N/A</v>
      </c>
      <c r="Y63" s="428">
        <f t="shared" si="1"/>
      </c>
      <c r="Z63" s="429">
        <f t="shared" si="2"/>
      </c>
    </row>
    <row r="64" spans="20:26" ht="12.75">
      <c r="T64" s="420">
        <v>2021</v>
      </c>
      <c r="U64" s="426">
        <f>SUM('uppdat-hjälpberäkn'!I65)</f>
        <v>47600</v>
      </c>
      <c r="V64" s="426">
        <f>SUM('uppdat-hjälpberäkn'!J65)</f>
        <v>48600</v>
      </c>
      <c r="W64" s="430">
        <f t="shared" si="3"/>
        <v>1.0063424947145878</v>
      </c>
      <c r="X64" s="428" t="e">
        <f t="shared" si="0"/>
        <v>#N/A</v>
      </c>
      <c r="Y64" s="428">
        <f t="shared" si="1"/>
      </c>
      <c r="Z64" s="429">
        <f t="shared" si="2"/>
      </c>
    </row>
    <row r="65" spans="20:26" ht="12.75">
      <c r="T65" s="420">
        <v>2022</v>
      </c>
      <c r="U65" s="426">
        <f>SUM('uppdat-hjälpberäkn'!I66)</f>
        <v>48300</v>
      </c>
      <c r="V65" s="426">
        <f>SUM('uppdat-hjälpberäkn'!J66)</f>
        <v>49300</v>
      </c>
      <c r="W65" s="430">
        <f t="shared" si="3"/>
        <v>1.0147058823529411</v>
      </c>
      <c r="X65" s="428" t="e">
        <f t="shared" si="0"/>
        <v>#N/A</v>
      </c>
      <c r="Y65" s="428">
        <f t="shared" si="1"/>
      </c>
      <c r="Z65" s="429">
        <f t="shared" si="2"/>
      </c>
    </row>
    <row r="66" spans="20:26" ht="12.75">
      <c r="T66" s="420">
        <v>2023</v>
      </c>
      <c r="U66" s="426">
        <f>SUM('uppdat-hjälpberäkn'!I67)</f>
        <v>52500</v>
      </c>
      <c r="V66" s="426">
        <f>SUM('uppdat-hjälpberäkn'!J67)</f>
        <v>53500</v>
      </c>
      <c r="W66" s="430">
        <f t="shared" si="3"/>
        <v>1.0869565217391304</v>
      </c>
      <c r="X66" s="428" t="e">
        <f t="shared" si="0"/>
        <v>#N/A</v>
      </c>
      <c r="Y66" s="428">
        <f t="shared" si="1"/>
      </c>
      <c r="Z66" s="429">
        <f t="shared" si="2"/>
      </c>
    </row>
    <row r="67" spans="20:26" ht="12.75">
      <c r="T67" s="420">
        <v>2024</v>
      </c>
      <c r="U67" s="426">
        <f>SUM('uppdat-hjälpberäkn'!I68)</f>
        <v>57300</v>
      </c>
      <c r="V67" s="426">
        <f>SUM('uppdat-hjälpberäkn'!J68)</f>
        <v>58500</v>
      </c>
      <c r="W67" s="430">
        <f t="shared" si="3"/>
        <v>1.0914285714285714</v>
      </c>
      <c r="X67" s="428" t="e">
        <f t="shared" si="0"/>
        <v>#N/A</v>
      </c>
      <c r="Y67" s="428">
        <f t="shared" si="1"/>
      </c>
      <c r="Z67" s="429">
        <f t="shared" si="2"/>
      </c>
    </row>
    <row r="68" spans="20:26" ht="12.75">
      <c r="T68" s="420">
        <v>2025</v>
      </c>
      <c r="U68" s="426">
        <f>SUM('uppdat-hjälpberäkn'!I69)</f>
        <v>0</v>
      </c>
      <c r="V68" s="426">
        <f>SUM('uppdat-hjälpberäkn'!J69)</f>
        <v>0</v>
      </c>
      <c r="W68" s="430">
        <f t="shared" si="3"/>
        <v>0</v>
      </c>
      <c r="X68" s="428" t="e">
        <f aca="true" t="shared" si="21" ref="X68:X93">LOOKUP(T68,$A$2:$A$4,$E$2:$E$4)</f>
        <v>#N/A</v>
      </c>
      <c r="Y68" s="428">
        <f aca="true" t="shared" si="22" ref="Y68:Y93">IF(ISERROR(X68),"",X68)</f>
      </c>
      <c r="Z68" s="429">
        <f aca="true" t="shared" si="23" ref="Z68:Z93">IF(OR(Y68=0,Y68="",W68=""),"",IF(Y68=Y67,Z67*W68,Y68))</f>
      </c>
    </row>
    <row r="69" spans="20:26" ht="12.75">
      <c r="T69" s="420">
        <v>2026</v>
      </c>
      <c r="U69" s="426">
        <f>SUM('uppdat-hjälpberäkn'!I70)</f>
        <v>0</v>
      </c>
      <c r="V69" s="426">
        <f>SUM('uppdat-hjälpberäkn'!J70)</f>
        <v>0</v>
      </c>
      <c r="W69" s="430" t="e">
        <f aca="true" t="shared" si="24" ref="W69:W93">IF(U69="","",U69/U68)</f>
        <v>#DIV/0!</v>
      </c>
      <c r="X69" s="428" t="e">
        <f t="shared" si="21"/>
        <v>#N/A</v>
      </c>
      <c r="Y69" s="428">
        <f t="shared" si="22"/>
      </c>
      <c r="Z69" s="429" t="e">
        <f t="shared" si="23"/>
        <v>#DIV/0!</v>
      </c>
    </row>
    <row r="70" spans="20:26" ht="12.75">
      <c r="T70" s="420">
        <v>2027</v>
      </c>
      <c r="U70" s="426">
        <f>SUM('uppdat-hjälpberäkn'!I71)</f>
        <v>0</v>
      </c>
      <c r="V70" s="426">
        <f>SUM('uppdat-hjälpberäkn'!J71)</f>
        <v>0</v>
      </c>
      <c r="W70" s="430" t="e">
        <f t="shared" si="24"/>
        <v>#DIV/0!</v>
      </c>
      <c r="X70" s="428" t="e">
        <f t="shared" si="21"/>
        <v>#N/A</v>
      </c>
      <c r="Y70" s="428">
        <f t="shared" si="22"/>
      </c>
      <c r="Z70" s="429" t="e">
        <f t="shared" si="23"/>
        <v>#DIV/0!</v>
      </c>
    </row>
    <row r="71" spans="20:26" ht="12.75">
      <c r="T71" s="420">
        <v>2028</v>
      </c>
      <c r="U71" s="426">
        <f>SUM('uppdat-hjälpberäkn'!I72)</f>
        <v>0</v>
      </c>
      <c r="V71" s="426">
        <f>SUM('uppdat-hjälpberäkn'!J72)</f>
        <v>0</v>
      </c>
      <c r="W71" s="430" t="e">
        <f t="shared" si="24"/>
        <v>#DIV/0!</v>
      </c>
      <c r="X71" s="428" t="e">
        <f t="shared" si="21"/>
        <v>#N/A</v>
      </c>
      <c r="Y71" s="428">
        <f t="shared" si="22"/>
      </c>
      <c r="Z71" s="429" t="e">
        <f t="shared" si="23"/>
        <v>#DIV/0!</v>
      </c>
    </row>
    <row r="72" spans="20:26" ht="12.75">
      <c r="T72" s="420">
        <v>2029</v>
      </c>
      <c r="U72" s="426">
        <f>SUM('uppdat-hjälpberäkn'!I73)</f>
        <v>0</v>
      </c>
      <c r="V72" s="426">
        <f>SUM('uppdat-hjälpberäkn'!J73)</f>
        <v>0</v>
      </c>
      <c r="W72" s="430" t="e">
        <f t="shared" si="24"/>
        <v>#DIV/0!</v>
      </c>
      <c r="X72" s="428" t="e">
        <f t="shared" si="21"/>
        <v>#N/A</v>
      </c>
      <c r="Y72" s="428">
        <f t="shared" si="22"/>
      </c>
      <c r="Z72" s="429" t="e">
        <f t="shared" si="23"/>
        <v>#DIV/0!</v>
      </c>
    </row>
    <row r="73" spans="20:26" ht="12.75">
      <c r="T73" s="420">
        <v>2030</v>
      </c>
      <c r="U73" s="426">
        <f>SUM('uppdat-hjälpberäkn'!I74)</f>
        <v>0</v>
      </c>
      <c r="V73" s="426">
        <f>SUM('uppdat-hjälpberäkn'!J74)</f>
        <v>0</v>
      </c>
      <c r="W73" s="430" t="e">
        <f t="shared" si="24"/>
        <v>#DIV/0!</v>
      </c>
      <c r="X73" s="428" t="e">
        <f t="shared" si="21"/>
        <v>#N/A</v>
      </c>
      <c r="Y73" s="428">
        <f t="shared" si="22"/>
      </c>
      <c r="Z73" s="429" t="e">
        <f t="shared" si="23"/>
        <v>#DIV/0!</v>
      </c>
    </row>
    <row r="74" spans="20:26" ht="12.75">
      <c r="T74" s="420">
        <v>2031</v>
      </c>
      <c r="U74" s="426">
        <f>SUM('uppdat-hjälpberäkn'!I75)</f>
        <v>0</v>
      </c>
      <c r="V74" s="426">
        <f>SUM('uppdat-hjälpberäkn'!J75)</f>
        <v>0</v>
      </c>
      <c r="W74" s="430" t="e">
        <f t="shared" si="24"/>
        <v>#DIV/0!</v>
      </c>
      <c r="X74" s="428" t="e">
        <f t="shared" si="21"/>
        <v>#N/A</v>
      </c>
      <c r="Y74" s="428">
        <f t="shared" si="22"/>
      </c>
      <c r="Z74" s="429" t="e">
        <f t="shared" si="23"/>
        <v>#DIV/0!</v>
      </c>
    </row>
    <row r="75" spans="20:26" ht="12.75">
      <c r="T75" s="420">
        <v>2032</v>
      </c>
      <c r="U75" s="426">
        <f>SUM('uppdat-hjälpberäkn'!I76)</f>
        <v>0</v>
      </c>
      <c r="V75" s="426">
        <f>SUM('uppdat-hjälpberäkn'!J76)</f>
        <v>0</v>
      </c>
      <c r="W75" s="430" t="e">
        <f t="shared" si="24"/>
        <v>#DIV/0!</v>
      </c>
      <c r="X75" s="428" t="e">
        <f t="shared" si="21"/>
        <v>#N/A</v>
      </c>
      <c r="Y75" s="428">
        <f t="shared" si="22"/>
      </c>
      <c r="Z75" s="429" t="e">
        <f t="shared" si="23"/>
        <v>#DIV/0!</v>
      </c>
    </row>
    <row r="76" spans="20:26" ht="12.75">
      <c r="T76" s="420">
        <v>2033</v>
      </c>
      <c r="U76" s="426">
        <f>SUM('uppdat-hjälpberäkn'!I77)</f>
        <v>0</v>
      </c>
      <c r="V76" s="426">
        <f>SUM('uppdat-hjälpberäkn'!J77)</f>
        <v>0</v>
      </c>
      <c r="W76" s="430" t="e">
        <f t="shared" si="24"/>
        <v>#DIV/0!</v>
      </c>
      <c r="X76" s="428" t="e">
        <f t="shared" si="21"/>
        <v>#N/A</v>
      </c>
      <c r="Y76" s="428">
        <f t="shared" si="22"/>
      </c>
      <c r="Z76" s="429" t="e">
        <f t="shared" si="23"/>
        <v>#DIV/0!</v>
      </c>
    </row>
    <row r="77" spans="20:26" ht="12.75">
      <c r="T77" s="420">
        <v>2034</v>
      </c>
      <c r="U77" s="426">
        <f>SUM('uppdat-hjälpberäkn'!I78)</f>
        <v>0</v>
      </c>
      <c r="V77" s="426">
        <f>SUM('uppdat-hjälpberäkn'!J78)</f>
        <v>0</v>
      </c>
      <c r="W77" s="430" t="e">
        <f t="shared" si="24"/>
        <v>#DIV/0!</v>
      </c>
      <c r="X77" s="428" t="e">
        <f t="shared" si="21"/>
        <v>#N/A</v>
      </c>
      <c r="Y77" s="428">
        <f t="shared" si="22"/>
      </c>
      <c r="Z77" s="429" t="e">
        <f t="shared" si="23"/>
        <v>#DIV/0!</v>
      </c>
    </row>
    <row r="78" spans="20:26" ht="12.75">
      <c r="T78" s="420">
        <v>2035</v>
      </c>
      <c r="U78" s="426">
        <f>SUM('uppdat-hjälpberäkn'!I79)</f>
        <v>0</v>
      </c>
      <c r="V78" s="426">
        <f>SUM('uppdat-hjälpberäkn'!J79)</f>
        <v>0</v>
      </c>
      <c r="W78" s="430" t="e">
        <f t="shared" si="24"/>
        <v>#DIV/0!</v>
      </c>
      <c r="X78" s="428" t="e">
        <f t="shared" si="21"/>
        <v>#N/A</v>
      </c>
      <c r="Y78" s="428">
        <f t="shared" si="22"/>
      </c>
      <c r="Z78" s="429" t="e">
        <f t="shared" si="23"/>
        <v>#DIV/0!</v>
      </c>
    </row>
    <row r="79" spans="20:26" ht="12.75">
      <c r="T79" s="420">
        <v>2036</v>
      </c>
      <c r="U79" s="426">
        <f>SUM('uppdat-hjälpberäkn'!I80)</f>
        <v>0</v>
      </c>
      <c r="V79" s="426">
        <f>SUM('uppdat-hjälpberäkn'!J80)</f>
        <v>0</v>
      </c>
      <c r="W79" s="430" t="e">
        <f t="shared" si="24"/>
        <v>#DIV/0!</v>
      </c>
      <c r="X79" s="428" t="e">
        <f t="shared" si="21"/>
        <v>#N/A</v>
      </c>
      <c r="Y79" s="428">
        <f t="shared" si="22"/>
      </c>
      <c r="Z79" s="429" t="e">
        <f t="shared" si="23"/>
        <v>#DIV/0!</v>
      </c>
    </row>
    <row r="80" spans="20:26" ht="12.75">
      <c r="T80" s="420">
        <v>2037</v>
      </c>
      <c r="U80" s="426">
        <f>SUM('uppdat-hjälpberäkn'!I81)</f>
        <v>0</v>
      </c>
      <c r="V80" s="426">
        <f>SUM('uppdat-hjälpberäkn'!J81)</f>
        <v>0</v>
      </c>
      <c r="W80" s="430" t="e">
        <f t="shared" si="24"/>
        <v>#DIV/0!</v>
      </c>
      <c r="X80" s="428" t="e">
        <f t="shared" si="21"/>
        <v>#N/A</v>
      </c>
      <c r="Y80" s="428">
        <f t="shared" si="22"/>
      </c>
      <c r="Z80" s="429" t="e">
        <f t="shared" si="23"/>
        <v>#DIV/0!</v>
      </c>
    </row>
    <row r="81" spans="20:26" ht="12.75">
      <c r="T81" s="420">
        <v>2038</v>
      </c>
      <c r="U81" s="426">
        <f>SUM('uppdat-hjälpberäkn'!I82)</f>
        <v>0</v>
      </c>
      <c r="V81" s="426">
        <f>SUM('uppdat-hjälpberäkn'!J82)</f>
        <v>0</v>
      </c>
      <c r="W81" s="430" t="e">
        <f t="shared" si="24"/>
        <v>#DIV/0!</v>
      </c>
      <c r="X81" s="428" t="e">
        <f t="shared" si="21"/>
        <v>#N/A</v>
      </c>
      <c r="Y81" s="428">
        <f t="shared" si="22"/>
      </c>
      <c r="Z81" s="429" t="e">
        <f t="shared" si="23"/>
        <v>#DIV/0!</v>
      </c>
    </row>
    <row r="82" spans="20:26" ht="12.75">
      <c r="T82" s="420">
        <v>2039</v>
      </c>
      <c r="U82" s="426">
        <f>SUM('uppdat-hjälpberäkn'!I83)</f>
        <v>0</v>
      </c>
      <c r="V82" s="426">
        <f>SUM('uppdat-hjälpberäkn'!J83)</f>
        <v>0</v>
      </c>
      <c r="W82" s="430" t="e">
        <f t="shared" si="24"/>
        <v>#DIV/0!</v>
      </c>
      <c r="X82" s="428" t="e">
        <f t="shared" si="21"/>
        <v>#N/A</v>
      </c>
      <c r="Y82" s="428">
        <f t="shared" si="22"/>
      </c>
      <c r="Z82" s="429" t="e">
        <f t="shared" si="23"/>
        <v>#DIV/0!</v>
      </c>
    </row>
    <row r="83" spans="20:26" ht="12.75">
      <c r="T83" s="420">
        <v>2040</v>
      </c>
      <c r="U83" s="426">
        <f>SUM('uppdat-hjälpberäkn'!I84)</f>
        <v>0</v>
      </c>
      <c r="V83" s="426">
        <f>SUM('uppdat-hjälpberäkn'!J84)</f>
        <v>0</v>
      </c>
      <c r="W83" s="430" t="e">
        <f t="shared" si="24"/>
        <v>#DIV/0!</v>
      </c>
      <c r="X83" s="428" t="e">
        <f t="shared" si="21"/>
        <v>#N/A</v>
      </c>
      <c r="Y83" s="428">
        <f t="shared" si="22"/>
      </c>
      <c r="Z83" s="429" t="e">
        <f t="shared" si="23"/>
        <v>#DIV/0!</v>
      </c>
    </row>
    <row r="84" spans="20:26" ht="12.75">
      <c r="T84" s="420">
        <v>2041</v>
      </c>
      <c r="U84" s="426">
        <f>SUM('uppdat-hjälpberäkn'!I85)</f>
        <v>0</v>
      </c>
      <c r="V84" s="426">
        <f>SUM('uppdat-hjälpberäkn'!J85)</f>
        <v>0</v>
      </c>
      <c r="W84" s="430" t="e">
        <f t="shared" si="24"/>
        <v>#DIV/0!</v>
      </c>
      <c r="X84" s="428" t="e">
        <f t="shared" si="21"/>
        <v>#N/A</v>
      </c>
      <c r="Y84" s="428">
        <f t="shared" si="22"/>
      </c>
      <c r="Z84" s="429" t="e">
        <f t="shared" si="23"/>
        <v>#DIV/0!</v>
      </c>
    </row>
    <row r="85" spans="20:26" ht="12.75">
      <c r="T85" s="420">
        <v>2042</v>
      </c>
      <c r="U85" s="426">
        <f>SUM('uppdat-hjälpberäkn'!I86)</f>
        <v>0</v>
      </c>
      <c r="V85" s="426">
        <f>SUM('uppdat-hjälpberäkn'!J86)</f>
        <v>0</v>
      </c>
      <c r="W85" s="430" t="e">
        <f t="shared" si="24"/>
        <v>#DIV/0!</v>
      </c>
      <c r="X85" s="428" t="e">
        <f t="shared" si="21"/>
        <v>#N/A</v>
      </c>
      <c r="Y85" s="428">
        <f t="shared" si="22"/>
      </c>
      <c r="Z85" s="429" t="e">
        <f t="shared" si="23"/>
        <v>#DIV/0!</v>
      </c>
    </row>
    <row r="86" spans="20:26" ht="12.75">
      <c r="T86" s="420">
        <v>2043</v>
      </c>
      <c r="U86" s="426">
        <f>SUM('uppdat-hjälpberäkn'!I87)</f>
        <v>0</v>
      </c>
      <c r="V86" s="426">
        <f>SUM('uppdat-hjälpberäkn'!J87)</f>
        <v>0</v>
      </c>
      <c r="W86" s="430" t="e">
        <f t="shared" si="24"/>
        <v>#DIV/0!</v>
      </c>
      <c r="X86" s="428" t="e">
        <f t="shared" si="21"/>
        <v>#N/A</v>
      </c>
      <c r="Y86" s="428">
        <f t="shared" si="22"/>
      </c>
      <c r="Z86" s="429" t="e">
        <f t="shared" si="23"/>
        <v>#DIV/0!</v>
      </c>
    </row>
    <row r="87" spans="20:26" ht="12.75">
      <c r="T87" s="420">
        <v>2044</v>
      </c>
      <c r="U87" s="426">
        <f>SUM('uppdat-hjälpberäkn'!I88)</f>
        <v>0</v>
      </c>
      <c r="V87" s="426">
        <f>SUM('uppdat-hjälpberäkn'!J88)</f>
        <v>0</v>
      </c>
      <c r="W87" s="430" t="e">
        <f t="shared" si="24"/>
        <v>#DIV/0!</v>
      </c>
      <c r="X87" s="428" t="e">
        <f t="shared" si="21"/>
        <v>#N/A</v>
      </c>
      <c r="Y87" s="428">
        <f t="shared" si="22"/>
      </c>
      <c r="Z87" s="429" t="e">
        <f t="shared" si="23"/>
        <v>#DIV/0!</v>
      </c>
    </row>
    <row r="88" spans="20:26" ht="12.75">
      <c r="T88" s="420">
        <v>2045</v>
      </c>
      <c r="U88" s="426">
        <f>SUM('uppdat-hjälpberäkn'!I89)</f>
        <v>0</v>
      </c>
      <c r="V88" s="426">
        <f>SUM('uppdat-hjälpberäkn'!J89)</f>
        <v>0</v>
      </c>
      <c r="W88" s="430" t="e">
        <f t="shared" si="24"/>
        <v>#DIV/0!</v>
      </c>
      <c r="X88" s="428" t="e">
        <f t="shared" si="21"/>
        <v>#N/A</v>
      </c>
      <c r="Y88" s="428">
        <f t="shared" si="22"/>
      </c>
      <c r="Z88" s="429" t="e">
        <f t="shared" si="23"/>
        <v>#DIV/0!</v>
      </c>
    </row>
    <row r="89" spans="20:26" ht="12.75">
      <c r="T89" s="420">
        <v>2046</v>
      </c>
      <c r="U89" s="426">
        <f>SUM('uppdat-hjälpberäkn'!I90)</f>
        <v>0</v>
      </c>
      <c r="V89" s="426">
        <f>SUM('uppdat-hjälpberäkn'!J90)</f>
        <v>0</v>
      </c>
      <c r="W89" s="430" t="e">
        <f t="shared" si="24"/>
        <v>#DIV/0!</v>
      </c>
      <c r="X89" s="428" t="e">
        <f t="shared" si="21"/>
        <v>#N/A</v>
      </c>
      <c r="Y89" s="428">
        <f t="shared" si="22"/>
      </c>
      <c r="Z89" s="429" t="e">
        <f t="shared" si="23"/>
        <v>#DIV/0!</v>
      </c>
    </row>
    <row r="90" spans="20:26" ht="12.75">
      <c r="T90" s="420">
        <v>2047</v>
      </c>
      <c r="U90" s="426">
        <f>SUM('uppdat-hjälpberäkn'!I91)</f>
        <v>0</v>
      </c>
      <c r="V90" s="426">
        <f>SUM('uppdat-hjälpberäkn'!J91)</f>
        <v>0</v>
      </c>
      <c r="W90" s="430" t="e">
        <f t="shared" si="24"/>
        <v>#DIV/0!</v>
      </c>
      <c r="X90" s="428" t="e">
        <f t="shared" si="21"/>
        <v>#N/A</v>
      </c>
      <c r="Y90" s="428">
        <f t="shared" si="22"/>
      </c>
      <c r="Z90" s="429" t="e">
        <f t="shared" si="23"/>
        <v>#DIV/0!</v>
      </c>
    </row>
    <row r="91" spans="20:26" ht="12.75">
      <c r="T91" s="420">
        <v>2048</v>
      </c>
      <c r="U91" s="426">
        <f>SUM('uppdat-hjälpberäkn'!I92)</f>
        <v>0</v>
      </c>
      <c r="V91" s="426">
        <f>SUM('uppdat-hjälpberäkn'!J92)</f>
        <v>0</v>
      </c>
      <c r="W91" s="430" t="e">
        <f t="shared" si="24"/>
        <v>#DIV/0!</v>
      </c>
      <c r="X91" s="428" t="e">
        <f t="shared" si="21"/>
        <v>#N/A</v>
      </c>
      <c r="Y91" s="428">
        <f t="shared" si="22"/>
      </c>
      <c r="Z91" s="429" t="e">
        <f t="shared" si="23"/>
        <v>#DIV/0!</v>
      </c>
    </row>
    <row r="92" spans="20:26" ht="12.75">
      <c r="T92" s="420">
        <v>2049</v>
      </c>
      <c r="U92" s="426">
        <f>SUM('uppdat-hjälpberäkn'!I93)</f>
        <v>0</v>
      </c>
      <c r="V92" s="426">
        <f>SUM('uppdat-hjälpberäkn'!J93)</f>
        <v>0</v>
      </c>
      <c r="W92" s="430" t="e">
        <f t="shared" si="24"/>
        <v>#DIV/0!</v>
      </c>
      <c r="X92" s="428" t="e">
        <f t="shared" si="21"/>
        <v>#N/A</v>
      </c>
      <c r="Y92" s="428">
        <f t="shared" si="22"/>
      </c>
      <c r="Z92" s="429" t="e">
        <f t="shared" si="23"/>
        <v>#DIV/0!</v>
      </c>
    </row>
    <row r="93" spans="20:26" ht="12.75">
      <c r="T93" s="420">
        <v>2050</v>
      </c>
      <c r="U93" s="426">
        <f>SUM('uppdat-hjälpberäkn'!I94)</f>
        <v>0</v>
      </c>
      <c r="V93" s="426">
        <f>SUM('uppdat-hjälpberäkn'!J94)</f>
        <v>0</v>
      </c>
      <c r="W93" s="430" t="e">
        <f t="shared" si="24"/>
        <v>#DIV/0!</v>
      </c>
      <c r="X93" s="428" t="e">
        <f t="shared" si="21"/>
        <v>#N/A</v>
      </c>
      <c r="Y93" s="428">
        <f t="shared" si="22"/>
      </c>
      <c r="Z93" s="429" t="e">
        <f t="shared" si="23"/>
        <v>#DIV/0!</v>
      </c>
    </row>
  </sheetData>
  <sheetProtection password="C248" sheet="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W47"/>
  <sheetViews>
    <sheetView zoomScalePageLayoutView="0" workbookViewId="0" topLeftCell="A4">
      <selection activeCell="G4" sqref="G3:G4"/>
    </sheetView>
  </sheetViews>
  <sheetFormatPr defaultColWidth="9.140625" defaultRowHeight="12.75"/>
  <cols>
    <col min="1" max="1" width="8.140625" style="0" customWidth="1"/>
    <col min="2" max="2" width="5.57421875" style="0" customWidth="1"/>
    <col min="3" max="3" width="7.00390625" style="0" customWidth="1"/>
    <col min="4" max="4" width="8.421875" style="0" customWidth="1"/>
    <col min="5" max="5" width="6.57421875" style="0" customWidth="1"/>
    <col min="6" max="6" width="8.421875" style="0" customWidth="1"/>
    <col min="7" max="7" width="7.57421875" style="0" customWidth="1"/>
    <col min="8" max="8" width="6.421875" style="0" customWidth="1"/>
    <col min="9" max="9" width="7.421875" style="0" customWidth="1"/>
    <col min="10" max="10" width="2.57421875" style="0" customWidth="1"/>
    <col min="11" max="11" width="8.57421875" style="0" customWidth="1"/>
    <col min="12" max="12" width="8.140625" style="0" customWidth="1"/>
    <col min="13" max="13" width="7.421875" style="0" customWidth="1"/>
    <col min="14" max="14" width="8.140625" style="0" customWidth="1"/>
    <col min="15" max="15" width="8.8515625" style="0" customWidth="1"/>
    <col min="16" max="16" width="10.8515625" style="0" customWidth="1"/>
    <col min="17" max="17" width="7.57421875" style="0" customWidth="1"/>
    <col min="18" max="19" width="8.421875" style="0" customWidth="1"/>
    <col min="20" max="20" width="9.140625" style="69" hidden="1" customWidth="1"/>
    <col min="21" max="21" width="10.140625" style="69" hidden="1" customWidth="1"/>
    <col min="22" max="22" width="11.421875" style="69" hidden="1" customWidth="1"/>
  </cols>
  <sheetData>
    <row r="1" spans="1:22" ht="12.75">
      <c r="A1" s="167" t="s">
        <v>140</v>
      </c>
      <c r="B1" s="167"/>
      <c r="C1" s="167"/>
      <c r="D1" s="167"/>
      <c r="E1" s="167"/>
      <c r="F1" s="167"/>
      <c r="G1" s="167"/>
      <c r="H1" s="42" t="s">
        <v>0</v>
      </c>
      <c r="I1" s="167"/>
      <c r="J1" s="149"/>
      <c r="K1" s="167"/>
      <c r="L1" s="17"/>
      <c r="M1" s="17"/>
      <c r="N1" s="17"/>
      <c r="O1" s="27"/>
      <c r="P1" s="17"/>
      <c r="Q1" s="17"/>
      <c r="R1" s="17"/>
      <c r="S1" s="150"/>
      <c r="T1" s="164" t="s">
        <v>92</v>
      </c>
      <c r="U1" s="164" t="s">
        <v>103</v>
      </c>
      <c r="V1" s="164" t="s">
        <v>122</v>
      </c>
    </row>
    <row r="2" spans="1:22" ht="12.75">
      <c r="A2" s="813">
        <f>LEFT(FAKTA!D3,40)</f>
      </c>
      <c r="B2" s="814"/>
      <c r="C2" s="814"/>
      <c r="D2" s="814"/>
      <c r="E2" s="815"/>
      <c r="F2" s="167"/>
      <c r="G2" s="167"/>
      <c r="H2" s="816">
        <f>LEFT(FAKTA!D5,40)</f>
      </c>
      <c r="I2" s="817"/>
      <c r="J2" s="817"/>
      <c r="K2" s="817"/>
      <c r="L2" s="817"/>
      <c r="M2" s="818"/>
      <c r="N2" s="167"/>
      <c r="O2" s="167"/>
      <c r="P2" s="167"/>
      <c r="Q2" s="167"/>
      <c r="R2" s="167"/>
      <c r="S2" s="167"/>
      <c r="T2" s="164">
        <f>IF(D27="","",IF(A10&lt;D27,A10,D27))</f>
        <v>0</v>
      </c>
      <c r="U2" s="596">
        <f>IF(T2="","",IF(T2&lt;A10,"",LOOKUP(T2,A10:A12,D10:D12)))</f>
      </c>
      <c r="V2" s="164">
        <f>IF(U2="","",IF(T2&lt;2003,"A","B"))</f>
      </c>
    </row>
    <row r="3" spans="1:22" ht="12.75">
      <c r="A3" s="149"/>
      <c r="B3" s="17"/>
      <c r="C3" s="27"/>
      <c r="D3" s="17"/>
      <c r="E3" s="17"/>
      <c r="F3" s="42"/>
      <c r="G3" s="150"/>
      <c r="H3" s="42"/>
      <c r="I3" s="167"/>
      <c r="J3" s="17"/>
      <c r="K3" s="149"/>
      <c r="L3" s="167"/>
      <c r="M3" s="167"/>
      <c r="N3" s="167"/>
      <c r="O3" s="167"/>
      <c r="P3" s="167"/>
      <c r="Q3" s="167"/>
      <c r="R3" s="167"/>
      <c r="S3" s="167"/>
      <c r="T3" s="164">
        <f>IF(T2="","",IF(T2+1&gt;$D$28,"",T2+1))</f>
      </c>
      <c r="U3" s="596">
        <f>IF(T3="","",IF(T3&lt;$A$10,"",LOOKUP(T3,$A$10:$A$12,$D$10:$D$12)))</f>
      </c>
      <c r="V3" s="164" t="e">
        <f>IF($T$42&gt;2002,"B",IF(U3="","",IF(V2="B","B",IF(OR(U3=U2,T3&lt;2003),"A","B"))))</f>
        <v>#NUM!</v>
      </c>
    </row>
    <row r="4" spans="1:22" ht="12.75">
      <c r="A4" s="149" t="s">
        <v>129</v>
      </c>
      <c r="B4" s="17"/>
      <c r="C4" s="27"/>
      <c r="D4" s="17"/>
      <c r="E4" s="17"/>
      <c r="F4" s="42"/>
      <c r="G4" s="150"/>
      <c r="H4" s="42"/>
      <c r="I4" s="167"/>
      <c r="J4" s="17"/>
      <c r="K4" s="149" t="s">
        <v>131</v>
      </c>
      <c r="L4" s="167"/>
      <c r="M4" s="167"/>
      <c r="N4" s="167"/>
      <c r="O4" s="167"/>
      <c r="P4" s="167"/>
      <c r="Q4" s="167"/>
      <c r="R4" s="167"/>
      <c r="S4" s="167"/>
      <c r="T4" s="164">
        <f>IF(T3="","",IF(T3+1&gt;$D$28,"",T3+1))</f>
      </c>
      <c r="U4" s="596">
        <f>IF(T4="","",IF(T4&lt;$A$10,"",LOOKUP(T4,$A$10:$A$12,$D$10:$D$12)))</f>
      </c>
      <c r="V4" s="164" t="e">
        <f aca="true" t="shared" si="0" ref="V4:V37">IF($T$42&gt;2002,"B",IF(U4="","",IF(V3="B","B",IF(OR(U4=U3,T4&lt;2003),"A","B"))))</f>
        <v>#NUM!</v>
      </c>
    </row>
    <row r="5" spans="1:22" ht="12.75">
      <c r="A5" s="149" t="s">
        <v>130</v>
      </c>
      <c r="B5" s="17"/>
      <c r="C5" s="27"/>
      <c r="D5" s="17"/>
      <c r="E5" s="17"/>
      <c r="F5" s="42"/>
      <c r="G5" s="150"/>
      <c r="H5" s="42"/>
      <c r="I5" s="149"/>
      <c r="J5" s="17"/>
      <c r="K5" s="149" t="s">
        <v>132</v>
      </c>
      <c r="L5" s="167"/>
      <c r="M5" s="167"/>
      <c r="N5" s="167"/>
      <c r="O5" s="167"/>
      <c r="P5" s="167"/>
      <c r="Q5" s="167"/>
      <c r="R5" s="167"/>
      <c r="S5" s="167"/>
      <c r="T5" s="164">
        <f>IF(T4="","",IF(T4+1&gt;$D$28,"",T4+1))</f>
      </c>
      <c r="U5" s="596">
        <f>IF(T5="","",IF(T5&lt;$A$10,"",LOOKUP(T5,$A$10:$A$12,$D$10:$D$12)))</f>
      </c>
      <c r="V5" s="164" t="e">
        <f t="shared" si="0"/>
        <v>#NUM!</v>
      </c>
    </row>
    <row r="6" spans="1:22" ht="12.75">
      <c r="A6" s="149"/>
      <c r="B6" s="17"/>
      <c r="C6" s="27"/>
      <c r="D6" s="17"/>
      <c r="E6" s="17"/>
      <c r="F6" s="42"/>
      <c r="G6" s="150"/>
      <c r="H6" s="42"/>
      <c r="I6" s="149"/>
      <c r="J6" s="17"/>
      <c r="K6" s="167"/>
      <c r="L6" s="167"/>
      <c r="M6" s="167"/>
      <c r="N6" s="167"/>
      <c r="O6" s="167"/>
      <c r="P6" s="167"/>
      <c r="Q6" s="167"/>
      <c r="R6" s="167"/>
      <c r="S6" s="167"/>
      <c r="T6" s="164">
        <f>IF(T5="","",IF(T5+1&gt;$D$28,"",T5+1))</f>
      </c>
      <c r="U6" s="596">
        <f>IF(T6="","",IF(T6&lt;$A$10,"",LOOKUP(T6,$A$10:$A$12,$D$10:$D$12)))</f>
      </c>
      <c r="V6" s="164" t="e">
        <f t="shared" si="0"/>
        <v>#NUM!</v>
      </c>
    </row>
    <row r="7" spans="1:22" ht="12.75">
      <c r="A7" s="15" t="s">
        <v>93</v>
      </c>
      <c r="B7" s="15"/>
      <c r="C7" s="21"/>
      <c r="D7" s="15"/>
      <c r="E7" s="15"/>
      <c r="F7" s="42"/>
      <c r="G7" s="150"/>
      <c r="H7" s="42"/>
      <c r="I7" s="15"/>
      <c r="J7" s="15"/>
      <c r="K7" s="42"/>
      <c r="L7" s="17"/>
      <c r="M7" s="167"/>
      <c r="N7" s="167"/>
      <c r="O7" s="167"/>
      <c r="P7" s="167"/>
      <c r="Q7" s="167"/>
      <c r="R7" s="167"/>
      <c r="S7" s="150"/>
      <c r="T7" s="164">
        <f>IF(T6="","",IF(T6+1&gt;$D$28,"",T6+1))</f>
      </c>
      <c r="U7" s="596">
        <f>IF(T7="","",IF(T7&lt;$A$10,"",LOOKUP(T7,$A$10:$A$12,$D$10:$D$12)))</f>
      </c>
      <c r="V7" s="164" t="e">
        <f t="shared" si="0"/>
        <v>#NUM!</v>
      </c>
    </row>
    <row r="8" spans="1:22" ht="12.75">
      <c r="A8" s="167"/>
      <c r="B8" s="167"/>
      <c r="C8" s="178" t="s">
        <v>151</v>
      </c>
      <c r="D8" s="167"/>
      <c r="E8" s="167"/>
      <c r="F8" s="167"/>
      <c r="G8" s="167"/>
      <c r="H8" s="167"/>
      <c r="I8" s="167"/>
      <c r="J8" s="167"/>
      <c r="K8" s="167"/>
      <c r="L8" s="167"/>
      <c r="M8" s="167"/>
      <c r="N8" s="17" t="s">
        <v>149</v>
      </c>
      <c r="O8" s="167"/>
      <c r="P8" s="151">
        <f>SUM(A17)</f>
        <v>0</v>
      </c>
      <c r="Q8" s="15"/>
      <c r="R8" s="47">
        <f>SUM(A18)</f>
        <v>0</v>
      </c>
      <c r="S8" s="150"/>
      <c r="T8" s="164">
        <f aca="true" t="shared" si="1" ref="T8:T37">IF(T7="","",IF(T7+1&gt;$D$28,"",T7+1))</f>
      </c>
      <c r="U8" s="596">
        <f aca="true" t="shared" si="2" ref="U8:U37">IF(T8="","",IF(T8&lt;$A$10,"",LOOKUP(T8,$A$10:$A$12,$D$10:$D$12)))</f>
      </c>
      <c r="V8" s="164" t="e">
        <f t="shared" si="0"/>
        <v>#NUM!</v>
      </c>
    </row>
    <row r="9" spans="1:23" ht="12.75">
      <c r="A9" s="24" t="s">
        <v>92</v>
      </c>
      <c r="B9" s="24" t="s">
        <v>94</v>
      </c>
      <c r="C9" s="24" t="s">
        <v>152</v>
      </c>
      <c r="D9" s="24" t="s">
        <v>95</v>
      </c>
      <c r="E9" s="15"/>
      <c r="F9" s="15" t="s">
        <v>96</v>
      </c>
      <c r="G9" s="15"/>
      <c r="H9" s="15"/>
      <c r="I9" s="167"/>
      <c r="J9" s="167"/>
      <c r="K9" s="167"/>
      <c r="L9" s="15"/>
      <c r="M9" s="167"/>
      <c r="N9" s="17" t="s">
        <v>148</v>
      </c>
      <c r="O9" s="15"/>
      <c r="P9" s="26">
        <f>IF(K12="","",FLOOR(D17*0.93,100))</f>
      </c>
      <c r="Q9" s="15"/>
      <c r="R9" s="26">
        <f>IF(K12="","",IF(R8='uppdat-hjälpberäkn'!N16,FLOOR(D18*0.93*'uppdat-hjälpberäkn'!N24,100),FLOOR(D18*0.93,100)))</f>
      </c>
      <c r="S9" s="42"/>
      <c r="T9" s="164">
        <f t="shared" si="1"/>
      </c>
      <c r="U9" s="596">
        <f t="shared" si="2"/>
      </c>
      <c r="V9" s="164" t="e">
        <f t="shared" si="0"/>
        <v>#NUM!</v>
      </c>
      <c r="W9" s="400"/>
    </row>
    <row r="10" spans="1:23" ht="12.75">
      <c r="A10" s="242">
        <f>IF(FAKTA!P3="","",SUM(FAKTA!P3))</f>
      </c>
      <c r="B10" s="243">
        <f>IF(A10="","",SUM(FAKTA!Q3))</f>
      </c>
      <c r="C10" s="243">
        <f>IF(A10="","",SUM(FAKTA!R3))</f>
      </c>
      <c r="D10" s="154">
        <f>IF(A10="","",SUM(B10:C10))</f>
      </c>
      <c r="E10" s="15"/>
      <c r="F10" s="216">
        <f>SUM(FAKTA!Q7)</f>
        <v>0</v>
      </c>
      <c r="G10" s="15"/>
      <c r="H10" s="15"/>
      <c r="I10" s="167"/>
      <c r="J10" s="167"/>
      <c r="K10" s="167"/>
      <c r="L10" s="15"/>
      <c r="M10" s="167"/>
      <c r="N10" s="15"/>
      <c r="O10" s="15" t="s">
        <v>98</v>
      </c>
      <c r="P10" s="26">
        <f>IF(K12="","",SUM(L17))</f>
      </c>
      <c r="Q10" s="15"/>
      <c r="R10" s="26">
        <f>IF(K12="","",IF(R8='uppdat-hjälpberäkn'!N16,L18*'uppdat-hjälpberäkn'!N24,L18))</f>
      </c>
      <c r="S10" s="42"/>
      <c r="T10" s="164">
        <f t="shared" si="1"/>
      </c>
      <c r="U10" s="596">
        <f t="shared" si="2"/>
      </c>
      <c r="V10" s="164" t="e">
        <f t="shared" si="0"/>
        <v>#NUM!</v>
      </c>
      <c r="W10" s="400"/>
    </row>
    <row r="11" spans="1:23" ht="12.75">
      <c r="A11" s="242">
        <f>IF(FAKTA!P4="","",SUM(FAKTA!P4))</f>
      </c>
      <c r="B11" s="243">
        <f>IF(A11="","",SUM(FAKTA!Q4))</f>
      </c>
      <c r="C11" s="243">
        <f>IF(A11="","",SUM(FAKTA!R4))</f>
      </c>
      <c r="D11" s="154">
        <f>IF(A11="","",SUM(B11:C11))</f>
      </c>
      <c r="E11" s="15"/>
      <c r="F11" s="15"/>
      <c r="G11" s="15"/>
      <c r="H11" s="15"/>
      <c r="I11" s="167"/>
      <c r="J11" s="167"/>
      <c r="K11" s="15" t="s">
        <v>97</v>
      </c>
      <c r="L11" s="15"/>
      <c r="M11" s="167"/>
      <c r="N11" s="15"/>
      <c r="O11" s="15" t="s">
        <v>99</v>
      </c>
      <c r="P11" s="184">
        <f>IF(K12="","",FLOOR(K17*0.93,100))</f>
      </c>
      <c r="Q11" s="15"/>
      <c r="R11" s="184">
        <f>IF(K12="","",IF(R8='uppdat-hjälpberäkn'!N16,FLOOR(K18*0.93*'uppdat-hjälpberäkn'!N24,100),FLOOR(K18*0.93,100)))</f>
      </c>
      <c r="S11" s="15"/>
      <c r="T11" s="164">
        <f t="shared" si="1"/>
      </c>
      <c r="U11" s="596">
        <f t="shared" si="2"/>
      </c>
      <c r="V11" s="164" t="e">
        <f t="shared" si="0"/>
        <v>#NUM!</v>
      </c>
      <c r="W11" s="400"/>
    </row>
    <row r="12" spans="1:23" ht="12.75">
      <c r="A12" s="242">
        <f>IF(FAKTA!P5="","",SUM(FAKTA!P5))</f>
      </c>
      <c r="B12" s="243">
        <f>IF(A12="","",SUM(FAKTA!Q5))</f>
      </c>
      <c r="C12" s="243">
        <f>IF(A12="","",SUM(FAKTA!R5))</f>
      </c>
      <c r="D12" s="154">
        <f>IF(A12="","",SUM(B12:C12))</f>
      </c>
      <c r="E12" s="15"/>
      <c r="F12" s="15"/>
      <c r="G12" s="15"/>
      <c r="H12" s="15"/>
      <c r="I12" s="167"/>
      <c r="J12" s="167"/>
      <c r="K12" s="155"/>
      <c r="L12" s="15"/>
      <c r="M12" s="167"/>
      <c r="N12" s="15"/>
      <c r="O12" s="156" t="s">
        <v>228</v>
      </c>
      <c r="P12" s="96">
        <f>IF(K12="","",SUM(P9:P11))</f>
      </c>
      <c r="Q12" s="185">
        <f>IF(L10="","",SUM(Q9:Q11))</f>
      </c>
      <c r="R12" s="96">
        <f>IF(K12="","",SUM(R9:R11))</f>
      </c>
      <c r="S12" s="15"/>
      <c r="T12" s="164">
        <f t="shared" si="1"/>
      </c>
      <c r="U12" s="596">
        <f t="shared" si="2"/>
      </c>
      <c r="V12" s="164" t="e">
        <f t="shared" si="0"/>
        <v>#NUM!</v>
      </c>
      <c r="W12" s="400"/>
    </row>
    <row r="13" spans="1:23" ht="13.5" thickBot="1">
      <c r="A13" s="167"/>
      <c r="B13" s="167"/>
      <c r="C13" s="167"/>
      <c r="D13" s="167"/>
      <c r="E13" s="167"/>
      <c r="F13" s="401"/>
      <c r="G13" s="167"/>
      <c r="H13" s="167"/>
      <c r="I13" s="167"/>
      <c r="J13" s="167"/>
      <c r="K13" s="167"/>
      <c r="L13" s="167"/>
      <c r="M13" s="167"/>
      <c r="N13" s="167"/>
      <c r="O13" s="24" t="s">
        <v>100</v>
      </c>
      <c r="P13" s="247">
        <f>IF(OR(M17="",K12=""),0,FLOOR(P12,100))</f>
        <v>0</v>
      </c>
      <c r="Q13" s="185">
        <f>IF(L10="","",FLOOR(Q12,100))</f>
      </c>
      <c r="R13" s="247">
        <f>IF(OR(M18="",K12=""),0,FLOOR(R12,100))</f>
        <v>0</v>
      </c>
      <c r="S13" s="15"/>
      <c r="T13" s="164">
        <f t="shared" si="1"/>
      </c>
      <c r="U13" s="596">
        <f t="shared" si="2"/>
      </c>
      <c r="V13" s="164" t="e">
        <f t="shared" si="0"/>
        <v>#NUM!</v>
      </c>
      <c r="W13" s="400"/>
    </row>
    <row r="14" spans="1:23" ht="12.75">
      <c r="A14" s="167"/>
      <c r="B14" s="167"/>
      <c r="C14" s="24" t="s">
        <v>126</v>
      </c>
      <c r="D14" s="24" t="s">
        <v>156</v>
      </c>
      <c r="E14" s="167"/>
      <c r="F14" s="167"/>
      <c r="G14" s="167"/>
      <c r="H14" s="167"/>
      <c r="I14" s="169" t="s">
        <v>101</v>
      </c>
      <c r="J14" s="167"/>
      <c r="K14" s="24" t="s">
        <v>138</v>
      </c>
      <c r="L14" s="181" t="s">
        <v>126</v>
      </c>
      <c r="M14" s="167"/>
      <c r="N14" s="167"/>
      <c r="O14" s="15"/>
      <c r="P14" s="15"/>
      <c r="Q14" s="15"/>
      <c r="R14" s="15"/>
      <c r="S14" s="15"/>
      <c r="T14" s="164">
        <f t="shared" si="1"/>
      </c>
      <c r="U14" s="596">
        <f t="shared" si="2"/>
      </c>
      <c r="V14" s="164" t="e">
        <f t="shared" si="0"/>
        <v>#NUM!</v>
      </c>
      <c r="W14" s="102"/>
    </row>
    <row r="15" spans="1:23" ht="12.75">
      <c r="A15" s="15"/>
      <c r="B15" s="15" t="s">
        <v>125</v>
      </c>
      <c r="C15" s="24" t="s">
        <v>127</v>
      </c>
      <c r="D15" s="24" t="s">
        <v>128</v>
      </c>
      <c r="E15" s="15"/>
      <c r="F15" s="15"/>
      <c r="G15" s="47"/>
      <c r="H15" s="15"/>
      <c r="I15" s="168" t="s">
        <v>105</v>
      </c>
      <c r="J15" s="168"/>
      <c r="K15" s="24" t="s">
        <v>139</v>
      </c>
      <c r="L15" s="181" t="s">
        <v>127</v>
      </c>
      <c r="M15" s="24" t="s">
        <v>102</v>
      </c>
      <c r="N15" s="15"/>
      <c r="O15" s="63" t="s">
        <v>107</v>
      </c>
      <c r="P15" s="160"/>
      <c r="Q15" s="160"/>
      <c r="R15" s="160"/>
      <c r="S15" s="15"/>
      <c r="T15" s="164">
        <f t="shared" si="1"/>
      </c>
      <c r="U15" s="596">
        <f t="shared" si="2"/>
      </c>
      <c r="V15" s="164" t="e">
        <f t="shared" si="0"/>
        <v>#NUM!</v>
      </c>
      <c r="W15" s="400"/>
    </row>
    <row r="16" spans="1:23" ht="13.5" thickBot="1">
      <c r="A16" s="24" t="s">
        <v>92</v>
      </c>
      <c r="B16" s="15" t="s">
        <v>95</v>
      </c>
      <c r="C16" s="15" t="s">
        <v>155</v>
      </c>
      <c r="D16" s="24" t="s">
        <v>9</v>
      </c>
      <c r="E16" s="15" t="s">
        <v>104</v>
      </c>
      <c r="F16" s="15" t="s">
        <v>124</v>
      </c>
      <c r="G16" s="24" t="s">
        <v>105</v>
      </c>
      <c r="H16" s="24" t="s">
        <v>120</v>
      </c>
      <c r="I16" s="178" t="s">
        <v>144</v>
      </c>
      <c r="J16" s="186"/>
      <c r="K16" s="24" t="s">
        <v>155</v>
      </c>
      <c r="L16" s="24" t="s">
        <v>155</v>
      </c>
      <c r="M16" s="24" t="s">
        <v>38</v>
      </c>
      <c r="N16" s="183" t="s">
        <v>92</v>
      </c>
      <c r="O16" s="15" t="s">
        <v>137</v>
      </c>
      <c r="P16" s="47">
        <f>SUM(A17)</f>
        <v>0</v>
      </c>
      <c r="Q16" s="15"/>
      <c r="R16" s="47">
        <f>SUM(A18)</f>
        <v>0</v>
      </c>
      <c r="S16" s="15"/>
      <c r="T16" s="164">
        <f t="shared" si="1"/>
      </c>
      <c r="U16" s="596">
        <f t="shared" si="2"/>
      </c>
      <c r="V16" s="164" t="e">
        <f t="shared" si="0"/>
        <v>#NUM!</v>
      </c>
      <c r="W16" s="400"/>
    </row>
    <row r="17" spans="1:23" ht="13.5" thickBot="1">
      <c r="A17" s="163">
        <f>IF(A18="","",SUM(A18-1))</f>
      </c>
      <c r="B17" s="159">
        <f>IF(A10="","",LOOKUP(A17,T2:T37,U2:U37))</f>
      </c>
      <c r="C17" s="26">
        <f>IF(A17="",0,LOOKUP(A17,Blad2!$N$5:$N$65,Blad2!$S$5:$S$65))</f>
        <v>0</v>
      </c>
      <c r="D17" s="18"/>
      <c r="E17" s="26">
        <f>IF(OR(B17=0%,B17=""),0,IF(J17="A",($F$10+1)*LOOKUP(A17,'uppdat-hjälpberäkn'!$F$4:$F$67,'uppdat-hjälpberäkn'!$I$4:$I$67)*B17*0.93*FAKTA!K7/30,0))</f>
        <v>0</v>
      </c>
      <c r="F17" s="26">
        <f>IF(OR(B17=0%,B17=""),0,IF(AND(A17&gt;2015,J17="B"),C17/0.647*0.93,IF(J17="B",C17/0.64*0.93,0)))</f>
        <v>0</v>
      </c>
      <c r="G17" s="157">
        <f>IF(A17="","",SUM((D17*0.93)+E17+F17))</f>
      </c>
      <c r="H17" s="170">
        <f>IF(A17="","",SUM(7.5*LOOKUP(A17,'uppdat-hjälpberäkn'!$F$4:$F$67,'uppdat-hjälpberäkn'!$G$4:$G$67)))</f>
      </c>
      <c r="I17" s="174">
        <f>IF(K17&gt;0,"",IF(G17="","",IF(G17&gt;H17,H17,FLOOR(G17,100))))</f>
      </c>
      <c r="J17" s="24">
        <f>IF(B17="","",LOOKUP(A17,T2:T37,V2:V37))</f>
      </c>
      <c r="K17" s="18"/>
      <c r="L17" s="209"/>
      <c r="M17" s="26">
        <f>IF(K17="","",IF(J17="A",SUM($F$10+1)*LOOKUP(A17,'uppdat-hjälpberäkn'!$F$4:$F$67,'uppdat-hjälpberäkn'!$I$4:$I$67)*B17*FAKTA!$K$7/30,IF(A17&gt;2015,(L17/0.647),(L17/0.64))))</f>
      </c>
      <c r="N17" s="182">
        <f>SUM(A17)</f>
        <v>0</v>
      </c>
      <c r="O17" s="15" t="s">
        <v>136</v>
      </c>
      <c r="P17" s="26">
        <f>IF(M17="","",IF(K12=100%,SUM(M17*0.93),0))</f>
      </c>
      <c r="Q17" s="15"/>
      <c r="R17" s="26">
        <f>IF(M18="","",IF(K12=100%,IF(R16='uppdat-hjälpberäkn'!N16,M18*0.93*'uppdat-hjälpberäkn'!N24,M18*0.93),0))</f>
      </c>
      <c r="S17" s="15"/>
      <c r="T17" s="164">
        <f t="shared" si="1"/>
      </c>
      <c r="U17" s="596">
        <f t="shared" si="2"/>
      </c>
      <c r="V17" s="164" t="e">
        <f t="shared" si="0"/>
        <v>#NUM!</v>
      </c>
      <c r="W17" s="103"/>
    </row>
    <row r="18" spans="1:23" ht="13.5" thickBot="1">
      <c r="A18" s="163">
        <f>IF(D28=0,"",SUM(D28))</f>
      </c>
      <c r="B18" s="159">
        <f>IF(A10="","",LOOKUP(A18,T2:T37,U2:U37))</f>
      </c>
      <c r="C18" s="26">
        <f>IF(A18="",0,LOOKUP(A18,Blad2!$N$5:$N$65,Blad2!$S$5:$S$65))</f>
        <v>0</v>
      </c>
      <c r="D18" s="18"/>
      <c r="E18" s="26">
        <f>IF(OR(B18=0%,B18=""),0,IF(J18="A",($F$10+1)*LOOKUP(A18,'uppdat-hjälpberäkn'!$F$4:$F$67,'uppdat-hjälpberäkn'!$I$4:$I$67)*B18*0.93*FAKTA!K7/30,0))</f>
        <v>0</v>
      </c>
      <c r="F18" s="26">
        <f>IF(OR(B18=0%,B18=""),0,IF(AND(A18&gt;2015,J18="B"),C18/0.647*0.93,IF(J18="B",C18/0.64*0.93,0)))</f>
        <v>0</v>
      </c>
      <c r="G18" s="157">
        <f>IF(A18="","",IF(A18='uppdat-hjälpberäkn'!N16,'uppdat-hjälpberäkn'!N24*((D18*0.93)+E18+F18),((D18*0.93)+E18+F18)))</f>
      </c>
      <c r="H18" s="170">
        <f>IF(A18="","",SUM(7.5*LOOKUP(A18,'uppdat-hjälpberäkn'!$F$4:$F$67,'uppdat-hjälpberäkn'!$G$4:$G$67)))</f>
      </c>
      <c r="I18" s="174">
        <f>IF(K18&gt;0,"",IF(G18="","",IF(G18&gt;H18,H18,FLOOR(G18,100))))</f>
      </c>
      <c r="J18" s="24">
        <f>IF(B18="","",LOOKUP(A18,T2:T37,V2:V37))</f>
      </c>
      <c r="K18" s="18"/>
      <c r="L18" s="209"/>
      <c r="M18" s="26">
        <f>IF(K18="","",IF(J18="A",SUM($F$10+1)*LOOKUP(A18,'uppdat-hjälpberäkn'!$F$4:$F$67,'uppdat-hjälpberäkn'!$I$4:$I$67)*B18*FAKTA!$K$7/30,IF(A18&gt;2015,(L18/0.647),(L18/0.64))))</f>
      </c>
      <c r="N18" s="182">
        <f>SUM(A18)</f>
        <v>0</v>
      </c>
      <c r="O18" s="24" t="s">
        <v>109</v>
      </c>
      <c r="P18" s="15"/>
      <c r="Q18" s="24"/>
      <c r="R18" s="15"/>
      <c r="S18" s="161"/>
      <c r="T18" s="164">
        <f t="shared" si="1"/>
      </c>
      <c r="U18" s="596">
        <f t="shared" si="2"/>
      </c>
      <c r="V18" s="164" t="e">
        <f t="shared" si="0"/>
        <v>#NUM!</v>
      </c>
      <c r="W18" s="103"/>
    </row>
    <row r="19" spans="1:22" ht="12.75">
      <c r="A19" s="15"/>
      <c r="B19" s="15"/>
      <c r="C19" s="15"/>
      <c r="D19" s="15"/>
      <c r="E19" s="24" t="s">
        <v>110</v>
      </c>
      <c r="F19" s="24" t="s">
        <v>111</v>
      </c>
      <c r="G19" s="15"/>
      <c r="H19" s="15"/>
      <c r="I19" s="15"/>
      <c r="J19" s="15"/>
      <c r="K19" s="167"/>
      <c r="L19" s="167"/>
      <c r="M19" s="167"/>
      <c r="N19" s="167"/>
      <c r="O19" s="15" t="s">
        <v>98</v>
      </c>
      <c r="P19" s="26">
        <f>IF(K12="","",IF(K12=100%,SUM(P10),0))</f>
      </c>
      <c r="Q19" s="15"/>
      <c r="R19" s="26">
        <f>IF(K12="","",IF(K12=100%,SUM(R10),0))</f>
      </c>
      <c r="S19" s="15"/>
      <c r="T19" s="164">
        <f t="shared" si="1"/>
      </c>
      <c r="U19" s="596">
        <f t="shared" si="2"/>
      </c>
      <c r="V19" s="164" t="e">
        <f t="shared" si="0"/>
        <v>#NUM!</v>
      </c>
    </row>
    <row r="20" spans="1:22" ht="12.75">
      <c r="A20" s="180" t="s">
        <v>157</v>
      </c>
      <c r="B20" s="15"/>
      <c r="C20" s="15"/>
      <c r="D20" s="15"/>
      <c r="E20" s="15"/>
      <c r="F20" s="15"/>
      <c r="G20" s="15"/>
      <c r="H20" s="15"/>
      <c r="I20" s="15"/>
      <c r="J20" s="15"/>
      <c r="K20" s="180" t="s">
        <v>108</v>
      </c>
      <c r="L20" s="15"/>
      <c r="M20" s="15"/>
      <c r="N20" s="167"/>
      <c r="O20" s="15" t="s">
        <v>106</v>
      </c>
      <c r="P20" s="26">
        <f>IF(K12="","",IF(K12=100%,SUM(K17),0))</f>
      </c>
      <c r="Q20" s="15"/>
      <c r="R20" s="26">
        <f>IF(K12="","",IF(K12=100%,IF(R16='uppdat-hjälpberäkn'!N16,K18*'uppdat-hjälpberäkn'!N24,K18),0))</f>
      </c>
      <c r="S20" s="15"/>
      <c r="T20" s="164">
        <f t="shared" si="1"/>
      </c>
      <c r="U20" s="596">
        <f t="shared" si="2"/>
      </c>
      <c r="V20" s="164" t="e">
        <f t="shared" si="0"/>
        <v>#NUM!</v>
      </c>
    </row>
    <row r="21" spans="1:22" ht="13.5" thickBot="1">
      <c r="A21" s="15" t="s">
        <v>110</v>
      </c>
      <c r="B21" s="15" t="s">
        <v>158</v>
      </c>
      <c r="C21" s="15"/>
      <c r="D21" s="15"/>
      <c r="E21" s="15" t="s">
        <v>239</v>
      </c>
      <c r="F21" s="15"/>
      <c r="G21" s="15"/>
      <c r="H21" s="15"/>
      <c r="I21" s="15"/>
      <c r="J21" s="20" t="s">
        <v>110</v>
      </c>
      <c r="K21" s="15" t="s">
        <v>146</v>
      </c>
      <c r="L21" s="15"/>
      <c r="M21" s="15"/>
      <c r="N21" s="167"/>
      <c r="O21" s="156" t="s">
        <v>112</v>
      </c>
      <c r="P21" s="173">
        <f>IF(P17="","",IF(K12=100%,MAX(P17-P19-P20,0),0))</f>
      </c>
      <c r="Q21" s="156" t="s">
        <v>112</v>
      </c>
      <c r="R21" s="173">
        <f>IF(R17="","",IF(K12=100%,MAX(R17-R19-R20,0),0))</f>
      </c>
      <c r="S21" s="15"/>
      <c r="T21" s="164">
        <f t="shared" si="1"/>
      </c>
      <c r="U21" s="596">
        <f t="shared" si="2"/>
      </c>
      <c r="V21" s="164" t="e">
        <f t="shared" si="0"/>
        <v>#NUM!</v>
      </c>
    </row>
    <row r="22" spans="1:22" ht="13.5" thickBot="1">
      <c r="A22" s="15" t="s">
        <v>111</v>
      </c>
      <c r="B22" s="15" t="s">
        <v>159</v>
      </c>
      <c r="C22" s="15"/>
      <c r="D22" s="15"/>
      <c r="E22" s="15" t="s">
        <v>454</v>
      </c>
      <c r="F22" s="15"/>
      <c r="G22" s="15"/>
      <c r="H22" s="15"/>
      <c r="I22" s="15"/>
      <c r="J22" s="20" t="s">
        <v>111</v>
      </c>
      <c r="K22" s="15" t="s">
        <v>455</v>
      </c>
      <c r="L22" s="15"/>
      <c r="M22" s="15"/>
      <c r="N22" s="167"/>
      <c r="O22" s="158" t="s">
        <v>100</v>
      </c>
      <c r="P22" s="175">
        <f>IF(P21="",0,FLOOR(P21,100))</f>
        <v>0</v>
      </c>
      <c r="Q22" s="15"/>
      <c r="R22" s="175">
        <f>IF(R21="",0,FLOOR(R21,100))</f>
        <v>0</v>
      </c>
      <c r="S22" s="15"/>
      <c r="T22" s="164">
        <f t="shared" si="1"/>
      </c>
      <c r="U22" s="596">
        <f t="shared" si="2"/>
      </c>
      <c r="V22" s="164" t="e">
        <f t="shared" si="0"/>
        <v>#NUM!</v>
      </c>
    </row>
    <row r="23" spans="1:22" ht="12.75">
      <c r="A23" s="180" t="s">
        <v>150</v>
      </c>
      <c r="B23" s="15"/>
      <c r="C23" s="15"/>
      <c r="D23" s="15"/>
      <c r="E23" s="15"/>
      <c r="F23" s="15"/>
      <c r="G23" s="15"/>
      <c r="H23" s="15"/>
      <c r="I23" s="15"/>
      <c r="J23" s="15"/>
      <c r="K23" s="15"/>
      <c r="L23" s="15"/>
      <c r="M23" s="15"/>
      <c r="N23" s="15"/>
      <c r="O23" s="15"/>
      <c r="P23" s="15"/>
      <c r="Q23" s="15"/>
      <c r="R23" s="15"/>
      <c r="S23" s="15"/>
      <c r="T23" s="164">
        <f t="shared" si="1"/>
      </c>
      <c r="U23" s="596">
        <f t="shared" si="2"/>
      </c>
      <c r="V23" s="164" t="e">
        <f t="shared" si="0"/>
        <v>#NUM!</v>
      </c>
    </row>
    <row r="24" spans="1:22" ht="12.75">
      <c r="A24" s="15">
        <f>SUM(A17)</f>
        <v>0</v>
      </c>
      <c r="B24" s="26">
        <f>IF(A24=0,"",LOOKUP(A24,'uppdat-hjälpberäkn'!$F$4:$F$67,'uppdat-hjälpberäkn'!$I$4:$I$67))</f>
      </c>
      <c r="C24" s="15"/>
      <c r="D24" s="15"/>
      <c r="E24" s="15"/>
      <c r="F24" s="15"/>
      <c r="G24" s="15"/>
      <c r="H24" s="15"/>
      <c r="I24" s="15"/>
      <c r="J24" s="15"/>
      <c r="K24" s="15"/>
      <c r="L24" s="15"/>
      <c r="M24" s="15"/>
      <c r="N24" s="63" t="s">
        <v>113</v>
      </c>
      <c r="O24" s="160"/>
      <c r="P24" s="160"/>
      <c r="Q24" s="160"/>
      <c r="R24" s="15"/>
      <c r="S24" s="15"/>
      <c r="T24" s="164">
        <f t="shared" si="1"/>
      </c>
      <c r="U24" s="596">
        <f t="shared" si="2"/>
      </c>
      <c r="V24" s="164" t="e">
        <f t="shared" si="0"/>
        <v>#NUM!</v>
      </c>
    </row>
    <row r="25" spans="1:22" ht="12.75">
      <c r="A25" s="15">
        <f>SUM(A18)</f>
        <v>0</v>
      </c>
      <c r="B25" s="26">
        <f>IF(A25=0,"",LOOKUP(A25,'uppdat-hjälpberäkn'!$F$4:$F$67,'uppdat-hjälpberäkn'!$I$4:$I$67))</f>
      </c>
      <c r="C25" s="15"/>
      <c r="D25" s="15"/>
      <c r="E25" s="15"/>
      <c r="F25" s="15"/>
      <c r="G25" s="15"/>
      <c r="H25" s="15"/>
      <c r="I25" s="15"/>
      <c r="J25" s="15"/>
      <c r="K25" s="15"/>
      <c r="L25" s="15"/>
      <c r="M25" s="63"/>
      <c r="N25" s="47">
        <f>SUM(A17)</f>
        <v>0</v>
      </c>
      <c r="O25" s="15"/>
      <c r="P25" s="15"/>
      <c r="Q25" s="15"/>
      <c r="R25" s="47">
        <f>SUM(A18)</f>
        <v>0</v>
      </c>
      <c r="S25" s="15"/>
      <c r="T25" s="164">
        <f t="shared" si="1"/>
      </c>
      <c r="U25" s="596">
        <f t="shared" si="2"/>
      </c>
      <c r="V25" s="164" t="e">
        <f t="shared" si="0"/>
        <v>#NUM!</v>
      </c>
    </row>
    <row r="26" spans="1:22" ht="12.75">
      <c r="A26" s="15"/>
      <c r="B26" s="15"/>
      <c r="C26" s="15"/>
      <c r="D26" s="15"/>
      <c r="E26" s="15"/>
      <c r="F26" s="15"/>
      <c r="G26" s="15"/>
      <c r="H26" s="15"/>
      <c r="I26" s="15"/>
      <c r="J26" s="15"/>
      <c r="K26" s="15"/>
      <c r="L26" s="15" t="s">
        <v>114</v>
      </c>
      <c r="M26" s="15"/>
      <c r="N26" s="26">
        <f>IF(M17="","",IF(K12=100%,0,SUM(M17*0.93)))</f>
      </c>
      <c r="O26" s="15"/>
      <c r="P26" s="15" t="s">
        <v>114</v>
      </c>
      <c r="Q26" s="15"/>
      <c r="R26" s="26">
        <f>IF(M18="","",IF(K12=100%,0,IF(R25='uppdat-hjälpberäkn'!N16,M18*0.93*'uppdat-hjälpberäkn'!N24,M18*0.93)))</f>
      </c>
      <c r="S26" s="15"/>
      <c r="T26" s="164">
        <f t="shared" si="1"/>
      </c>
      <c r="U26" s="596">
        <f t="shared" si="2"/>
      </c>
      <c r="V26" s="164" t="e">
        <f t="shared" si="0"/>
        <v>#NUM!</v>
      </c>
    </row>
    <row r="27" spans="1:22" ht="12.75">
      <c r="A27" s="15" t="s">
        <v>67</v>
      </c>
      <c r="B27" s="15"/>
      <c r="C27" s="167"/>
      <c r="D27" s="163">
        <f>SUM(FAKTA!K3)</f>
        <v>0</v>
      </c>
      <c r="E27" s="15"/>
      <c r="F27" s="15"/>
      <c r="G27" s="15"/>
      <c r="H27" s="15"/>
      <c r="I27" s="15"/>
      <c r="J27" s="15"/>
      <c r="K27" s="15"/>
      <c r="L27" s="15" t="s">
        <v>115</v>
      </c>
      <c r="M27" s="15"/>
      <c r="N27" s="26">
        <f>IF(K12="","",IF(K12=100%,0,SUM(L17)))</f>
      </c>
      <c r="O27" s="15"/>
      <c r="P27" s="15" t="s">
        <v>115</v>
      </c>
      <c r="Q27" s="15"/>
      <c r="R27" s="26">
        <f>IF(K12="","",IF(K12=100%,0,IF(R25='uppdat-hjälpberäkn'!N16,L18*'uppdat-hjälpberäkn'!N24,L18)))</f>
      </c>
      <c r="S27" s="15"/>
      <c r="T27" s="164">
        <f t="shared" si="1"/>
      </c>
      <c r="U27" s="596">
        <f t="shared" si="2"/>
      </c>
      <c r="V27" s="164" t="e">
        <f t="shared" si="0"/>
        <v>#NUM!</v>
      </c>
    </row>
    <row r="28" spans="1:22" ht="12.75">
      <c r="A28" s="15" t="s">
        <v>123</v>
      </c>
      <c r="B28" s="15"/>
      <c r="C28" s="167"/>
      <c r="D28" s="163">
        <f>SUM(FAKTA!N7)</f>
        <v>0</v>
      </c>
      <c r="E28" s="15"/>
      <c r="F28" s="15"/>
      <c r="G28" s="15"/>
      <c r="H28" s="15"/>
      <c r="I28" s="15"/>
      <c r="J28" s="15"/>
      <c r="K28" s="15"/>
      <c r="L28" s="15"/>
      <c r="M28" s="15"/>
      <c r="N28" s="26">
        <f>IF(N26="","",IF(K12=100%,0,SUM(N26-N27)))</f>
      </c>
      <c r="O28" s="15"/>
      <c r="P28" s="15"/>
      <c r="Q28" s="15"/>
      <c r="R28" s="26">
        <f>IF(R26="","",IF(K12=100%,0,SUM(R26-R27)))</f>
      </c>
      <c r="S28" s="15"/>
      <c r="T28" s="164">
        <f t="shared" si="1"/>
      </c>
      <c r="U28" s="596">
        <f t="shared" si="2"/>
      </c>
      <c r="V28" s="164" t="e">
        <f t="shared" si="0"/>
        <v>#NUM!</v>
      </c>
    </row>
    <row r="29" spans="1:22" ht="12.75">
      <c r="A29" s="15" t="s">
        <v>244</v>
      </c>
      <c r="B29" s="15"/>
      <c r="C29" s="15"/>
      <c r="D29" s="163">
        <f>SUM(FAKTA!K7)</f>
        <v>0</v>
      </c>
      <c r="E29" s="15"/>
      <c r="F29" s="15"/>
      <c r="G29" s="15"/>
      <c r="H29" s="15"/>
      <c r="I29" s="15"/>
      <c r="J29" s="15"/>
      <c r="K29" s="15"/>
      <c r="L29" s="15"/>
      <c r="M29" s="44">
        <f>SUM(K12)</f>
        <v>0</v>
      </c>
      <c r="N29" s="15"/>
      <c r="O29" s="44">
        <f>SUM(1-K12)</f>
        <v>1</v>
      </c>
      <c r="P29" s="15"/>
      <c r="Q29" s="44">
        <f>SUM(K12)</f>
        <v>0</v>
      </c>
      <c r="R29" s="15"/>
      <c r="S29" s="44">
        <f>SUM(1-K12)</f>
        <v>1</v>
      </c>
      <c r="T29" s="164">
        <f t="shared" si="1"/>
      </c>
      <c r="U29" s="596">
        <f t="shared" si="2"/>
      </c>
      <c r="V29" s="164" t="e">
        <f t="shared" si="0"/>
        <v>#NUM!</v>
      </c>
    </row>
    <row r="30" spans="1:22" ht="12.75">
      <c r="A30" s="217"/>
      <c r="B30" s="217"/>
      <c r="C30" s="217"/>
      <c r="D30" s="217"/>
      <c r="E30" s="217"/>
      <c r="F30" s="217"/>
      <c r="G30" s="15"/>
      <c r="H30" s="15"/>
      <c r="I30" s="15"/>
      <c r="J30" s="15"/>
      <c r="K30" s="15"/>
      <c r="L30" s="15" t="s">
        <v>117</v>
      </c>
      <c r="M30" s="26">
        <f>IF(N28="","",IF(K12=100%,0,SUM(N28*K12)))</f>
      </c>
      <c r="N30" s="15" t="s">
        <v>116</v>
      </c>
      <c r="O30" s="26">
        <f>IF(N28="","",IF(K12=100%,0,SUM(N28*O29)))</f>
      </c>
      <c r="P30" s="15" t="s">
        <v>117</v>
      </c>
      <c r="Q30" s="26">
        <f>IF(R28="","",IF(K12=100%,0,SUM(R28*Q29)))</f>
      </c>
      <c r="R30" s="15" t="s">
        <v>118</v>
      </c>
      <c r="S30" s="26">
        <f>IF(R28="","",IF(K12=100%,0,SUM(R28*S29)))</f>
      </c>
      <c r="T30" s="164">
        <f t="shared" si="1"/>
      </c>
      <c r="U30" s="596">
        <f t="shared" si="2"/>
      </c>
      <c r="V30" s="164" t="e">
        <f t="shared" si="0"/>
        <v>#NUM!</v>
      </c>
    </row>
    <row r="31" spans="1:22" ht="12.75">
      <c r="A31" s="217"/>
      <c r="B31" s="217"/>
      <c r="C31" s="217"/>
      <c r="D31" s="217"/>
      <c r="E31" s="217"/>
      <c r="F31" s="217"/>
      <c r="G31" s="15"/>
      <c r="H31" s="15"/>
      <c r="I31" s="15"/>
      <c r="J31" s="15"/>
      <c r="K31" s="15"/>
      <c r="L31" s="15" t="s">
        <v>119</v>
      </c>
      <c r="M31" s="26">
        <f>IF(K12="","",IF(K12=100%,0,SUM(K17)))</f>
      </c>
      <c r="N31" s="15"/>
      <c r="O31" s="15"/>
      <c r="P31" s="15" t="s">
        <v>119</v>
      </c>
      <c r="Q31" s="26">
        <f>IF(K12="","",IF(K12=100%,0,IF(R25='uppdat-hjälpberäkn'!N16,K18*'uppdat-hjälpberäkn'!N24,K18)))</f>
      </c>
      <c r="R31" s="15"/>
      <c r="S31" s="15"/>
      <c r="T31" s="164">
        <f t="shared" si="1"/>
      </c>
      <c r="U31" s="596">
        <f t="shared" si="2"/>
      </c>
      <c r="V31" s="164" t="e">
        <f t="shared" si="0"/>
        <v>#NUM!</v>
      </c>
    </row>
    <row r="32" spans="1:22" ht="12.75">
      <c r="A32" s="217"/>
      <c r="B32" s="217"/>
      <c r="C32" s="217"/>
      <c r="D32" s="217"/>
      <c r="E32" s="217"/>
      <c r="F32" s="217"/>
      <c r="G32" s="15"/>
      <c r="H32" s="15"/>
      <c r="I32" s="15"/>
      <c r="J32" s="15"/>
      <c r="K32" s="15"/>
      <c r="L32" s="15"/>
      <c r="M32" s="26">
        <f>IF(M30="","",IF(K12=100%,0,MAX(M30-M31,0)))</f>
      </c>
      <c r="N32" s="15"/>
      <c r="O32" s="15"/>
      <c r="P32" s="15"/>
      <c r="Q32" s="26">
        <f>IF(Q30="","",IF(K12=100%,0,MAX(Q30-Q31,0)))</f>
      </c>
      <c r="R32" s="15"/>
      <c r="S32" s="15"/>
      <c r="T32" s="164">
        <f t="shared" si="1"/>
      </c>
      <c r="U32" s="596">
        <f t="shared" si="2"/>
      </c>
      <c r="V32" s="164" t="e">
        <f t="shared" si="0"/>
        <v>#NUM!</v>
      </c>
    </row>
    <row r="33" spans="1:22" ht="12.75">
      <c r="A33" s="217"/>
      <c r="B33" s="217"/>
      <c r="C33" s="217"/>
      <c r="D33" s="217"/>
      <c r="E33" s="217"/>
      <c r="F33" s="217"/>
      <c r="G33" s="15"/>
      <c r="H33" s="15"/>
      <c r="I33" s="15"/>
      <c r="J33" s="15"/>
      <c r="K33" s="15"/>
      <c r="L33" s="15"/>
      <c r="M33" s="15"/>
      <c r="N33" s="15"/>
      <c r="O33" s="15"/>
      <c r="P33" s="15"/>
      <c r="Q33" s="15"/>
      <c r="R33" s="15"/>
      <c r="S33" s="15"/>
      <c r="T33" s="164">
        <f t="shared" si="1"/>
      </c>
      <c r="U33" s="596">
        <f t="shared" si="2"/>
      </c>
      <c r="V33" s="164" t="e">
        <f t="shared" si="0"/>
        <v>#NUM!</v>
      </c>
    </row>
    <row r="34" spans="1:22" ht="13.5" thickBot="1">
      <c r="A34" s="15"/>
      <c r="B34" s="15"/>
      <c r="C34" s="15"/>
      <c r="D34" s="15"/>
      <c r="E34" s="15"/>
      <c r="F34" s="15"/>
      <c r="G34" s="15"/>
      <c r="H34" s="15"/>
      <c r="I34" s="15"/>
      <c r="J34" s="15"/>
      <c r="K34" s="63" t="s">
        <v>134</v>
      </c>
      <c r="L34" s="167"/>
      <c r="M34" s="15"/>
      <c r="N34" s="173">
        <f>IF(N28="",0,IF(K12=100%,0,MAX(M32+O30,0)))</f>
        <v>0</v>
      </c>
      <c r="O34" s="63" t="s">
        <v>133</v>
      </c>
      <c r="P34" s="15"/>
      <c r="Q34" s="15"/>
      <c r="R34" s="173">
        <f>IF(R28="",0,IF(K12=100%,0,MAX(Q32+S30,0)))</f>
        <v>0</v>
      </c>
      <c r="S34" s="15"/>
      <c r="T34" s="164">
        <f t="shared" si="1"/>
      </c>
      <c r="U34" s="596">
        <f t="shared" si="2"/>
      </c>
      <c r="V34" s="164" t="e">
        <f t="shared" si="0"/>
        <v>#NUM!</v>
      </c>
    </row>
    <row r="35" spans="1:22" ht="13.5" thickBot="1">
      <c r="A35" s="15"/>
      <c r="B35" s="15"/>
      <c r="C35" s="15"/>
      <c r="D35" s="15"/>
      <c r="E35" s="15"/>
      <c r="F35" s="15"/>
      <c r="G35" s="15"/>
      <c r="H35" s="15"/>
      <c r="I35" s="15"/>
      <c r="J35" s="15"/>
      <c r="K35" s="15"/>
      <c r="L35" s="15" t="s">
        <v>135</v>
      </c>
      <c r="M35" s="167"/>
      <c r="N35" s="175">
        <f>FLOOR(N34,100)</f>
        <v>0</v>
      </c>
      <c r="O35" s="15"/>
      <c r="P35" s="15"/>
      <c r="Q35" s="15" t="s">
        <v>100</v>
      </c>
      <c r="R35" s="175">
        <f>FLOOR(R34,100)</f>
        <v>0</v>
      </c>
      <c r="S35" s="15"/>
      <c r="T35" s="164">
        <f t="shared" si="1"/>
      </c>
      <c r="U35" s="596">
        <f t="shared" si="2"/>
      </c>
      <c r="V35" s="164" t="e">
        <f t="shared" si="0"/>
        <v>#NUM!</v>
      </c>
    </row>
    <row r="36" spans="1:22" ht="12.75">
      <c r="A36" s="15"/>
      <c r="B36" s="15"/>
      <c r="C36" s="15"/>
      <c r="D36" s="15"/>
      <c r="E36" s="15"/>
      <c r="F36" s="551"/>
      <c r="G36" s="63"/>
      <c r="H36" s="15"/>
      <c r="I36" s="15"/>
      <c r="J36" s="15"/>
      <c r="K36" s="15"/>
      <c r="L36" s="167"/>
      <c r="M36" s="167"/>
      <c r="N36" s="167"/>
      <c r="O36" s="167"/>
      <c r="P36" s="167"/>
      <c r="Q36" s="167"/>
      <c r="R36" s="167"/>
      <c r="S36" s="167"/>
      <c r="T36" s="164">
        <f t="shared" si="1"/>
      </c>
      <c r="U36" s="596">
        <f t="shared" si="2"/>
      </c>
      <c r="V36" s="164" t="e">
        <f t="shared" si="0"/>
        <v>#NUM!</v>
      </c>
    </row>
    <row r="37" spans="1:22" ht="13.5" thickBot="1">
      <c r="A37" s="15"/>
      <c r="B37" s="15"/>
      <c r="C37" s="15"/>
      <c r="D37" s="15"/>
      <c r="E37" s="15"/>
      <c r="F37" s="15"/>
      <c r="G37" s="15"/>
      <c r="H37" s="15"/>
      <c r="I37" s="15"/>
      <c r="J37" s="15"/>
      <c r="K37" s="15"/>
      <c r="L37" s="15"/>
      <c r="M37" s="15"/>
      <c r="N37" s="47">
        <f>SUM(A17)</f>
        <v>0</v>
      </c>
      <c r="O37" s="24" t="s">
        <v>120</v>
      </c>
      <c r="P37" s="15"/>
      <c r="Q37" s="15"/>
      <c r="R37" s="47">
        <f>SUM(A18)</f>
        <v>0</v>
      </c>
      <c r="S37" s="24" t="s">
        <v>120</v>
      </c>
      <c r="T37" s="164">
        <f t="shared" si="1"/>
      </c>
      <c r="U37" s="596">
        <f t="shared" si="2"/>
      </c>
      <c r="V37" s="164" t="e">
        <f t="shared" si="0"/>
        <v>#NUM!</v>
      </c>
    </row>
    <row r="38" spans="1:19" ht="13.5" thickBot="1">
      <c r="A38" s="167"/>
      <c r="B38" s="167"/>
      <c r="C38" s="255" t="s">
        <v>259</v>
      </c>
      <c r="D38" s="819">
        <f>SUM(FAKTA!C47)</f>
        <v>45292</v>
      </c>
      <c r="E38" s="820"/>
      <c r="F38" s="167"/>
      <c r="G38" s="167"/>
      <c r="H38" s="167"/>
      <c r="I38" s="167"/>
      <c r="J38" s="167"/>
      <c r="K38" s="167"/>
      <c r="L38" s="63" t="s">
        <v>121</v>
      </c>
      <c r="M38" s="15"/>
      <c r="N38" s="176">
        <f>IF(OR(P12="",P12=0),"",MIN(P13+P22+N35,LOOKUP(N37,'uppdat-hjälpberäkn'!$F$4:$F$67,'uppdat-hjälpberäkn'!$G$4:$G$67)*7.5))</f>
      </c>
      <c r="O38" s="162">
        <f>IF(N37=0,"",SUM(LOOKUP(N37,'uppdat-hjälpberäkn'!$F$4:$F$67,'uppdat-hjälpberäkn'!$G$4:$G$67)*7.5))</f>
      </c>
      <c r="P38" s="63" t="s">
        <v>121</v>
      </c>
      <c r="Q38" s="15"/>
      <c r="R38" s="176">
        <f>IF(OR(R12="",R12=0),"",MIN(R13+R22+R35,LOOKUP(R37,'uppdat-hjälpberäkn'!$F$4:$F$67,'uppdat-hjälpberäkn'!$G$4:$G$67)*7.5))</f>
      </c>
      <c r="S38" s="162">
        <f>IF(R37=0,"",SUM(LOOKUP(R37,'uppdat-hjälpberäkn'!$F$4:$F$67,'uppdat-hjälpberäkn'!$G$4:$G$67)*7.5))</f>
      </c>
    </row>
    <row r="39" spans="1:19" ht="12.75">
      <c r="A39" s="167"/>
      <c r="B39" s="167"/>
      <c r="C39" s="167"/>
      <c r="D39" s="167"/>
      <c r="E39" s="167"/>
      <c r="F39" s="167"/>
      <c r="G39" s="167"/>
      <c r="H39" s="167"/>
      <c r="I39" s="167"/>
      <c r="J39" s="167"/>
      <c r="K39" s="167"/>
      <c r="L39" s="167"/>
      <c r="M39" s="167"/>
      <c r="N39" s="167"/>
      <c r="O39" s="167"/>
      <c r="P39" s="167"/>
      <c r="Q39" s="167"/>
      <c r="R39" s="167"/>
      <c r="S39" s="167"/>
    </row>
    <row r="40" ht="12.75">
      <c r="A40" s="172"/>
    </row>
    <row r="41" spans="1:2" ht="12.75">
      <c r="A41" s="52"/>
      <c r="B41" s="102"/>
    </row>
    <row r="42" spans="1:20" ht="12.75">
      <c r="A42" s="52"/>
      <c r="B42" s="102"/>
      <c r="T42" s="69" t="e">
        <f>LARGE(A10:A12,1)</f>
        <v>#NUM!</v>
      </c>
    </row>
    <row r="43" spans="1:2" ht="12.75">
      <c r="A43" s="52"/>
      <c r="B43" s="102"/>
    </row>
    <row r="44" spans="1:2" ht="12.75">
      <c r="A44" s="52"/>
      <c r="B44" s="102"/>
    </row>
    <row r="45" spans="1:2" ht="12.75">
      <c r="A45" s="52"/>
      <c r="B45" s="102"/>
    </row>
    <row r="46" spans="1:2" ht="12.75">
      <c r="A46" s="52"/>
      <c r="B46" s="102"/>
    </row>
    <row r="47" ht="12.75">
      <c r="A47" s="172"/>
    </row>
  </sheetData>
  <sheetProtection password="C248" sheet="1"/>
  <mergeCells count="3">
    <mergeCell ref="A2:E2"/>
    <mergeCell ref="H2:M2"/>
    <mergeCell ref="D38:E38"/>
  </mergeCells>
  <conditionalFormatting sqref="L17:L18">
    <cfRule type="expression" priority="1" dxfId="6" stopIfTrue="1">
      <formula>$K$12&gt;0%</formula>
    </cfRule>
  </conditionalFormatting>
  <printOptions/>
  <pageMargins left="0.1968503937007874" right="0" top="0.5905511811023623" bottom="0.5905511811023623" header="0.5118110236220472" footer="0.5118110236220472"/>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K30"/>
  <sheetViews>
    <sheetView zoomScalePageLayoutView="0" workbookViewId="0" topLeftCell="A1">
      <selection activeCell="G1" sqref="G1"/>
    </sheetView>
  </sheetViews>
  <sheetFormatPr defaultColWidth="9.140625" defaultRowHeight="12.75"/>
  <cols>
    <col min="1" max="1" width="5.57421875" style="299" customWidth="1"/>
    <col min="2" max="6" width="9.140625" style="299" customWidth="1"/>
    <col min="7" max="7" width="12.421875" style="299" customWidth="1"/>
    <col min="8" max="8" width="9.421875" style="299" customWidth="1"/>
    <col min="9" max="9" width="2.8515625" style="299" customWidth="1"/>
    <col min="10" max="10" width="2.57421875" style="299" customWidth="1"/>
    <col min="11" max="11" width="0" style="299" hidden="1" customWidth="1"/>
    <col min="12" max="16384" width="9.140625" style="299" customWidth="1"/>
  </cols>
  <sheetData>
    <row r="1" spans="1:10" ht="12.75">
      <c r="A1" s="297" t="s">
        <v>429</v>
      </c>
      <c r="B1" s="298"/>
      <c r="C1" s="298"/>
      <c r="D1" s="298"/>
      <c r="E1" s="298" t="s">
        <v>301</v>
      </c>
      <c r="F1" s="298"/>
      <c r="G1" s="298"/>
      <c r="H1" s="298"/>
      <c r="I1" s="298"/>
      <c r="J1" s="298"/>
    </row>
    <row r="2" spans="1:10" ht="12.75">
      <c r="A2" s="297"/>
      <c r="B2" s="298"/>
      <c r="C2" s="298"/>
      <c r="D2" s="298"/>
      <c r="E2" s="298"/>
      <c r="F2" s="298"/>
      <c r="G2" s="298"/>
      <c r="H2" s="298" t="s">
        <v>334</v>
      </c>
      <c r="I2" s="298"/>
      <c r="J2" s="298"/>
    </row>
    <row r="3" spans="1:10" ht="12.75">
      <c r="A3" s="300" t="s">
        <v>302</v>
      </c>
      <c r="B3" s="298"/>
      <c r="C3" s="821">
        <f>LEFT(FAKTA!D3,40)</f>
      </c>
      <c r="D3" s="822"/>
      <c r="E3" s="823"/>
      <c r="F3" s="298"/>
      <c r="G3" s="821" t="s">
        <v>333</v>
      </c>
      <c r="H3" s="823"/>
      <c r="I3" s="368"/>
      <c r="J3" s="298"/>
    </row>
    <row r="4" spans="1:10" ht="12.75">
      <c r="A4" s="297"/>
      <c r="B4" s="298"/>
      <c r="C4" s="298"/>
      <c r="D4" s="298"/>
      <c r="E4" s="298"/>
      <c r="F4" s="298"/>
      <c r="G4" s="298"/>
      <c r="H4" s="298"/>
      <c r="I4" s="298"/>
      <c r="J4" s="298"/>
    </row>
    <row r="5" spans="1:10" ht="12.75">
      <c r="A5" s="297"/>
      <c r="B5" s="298" t="s">
        <v>0</v>
      </c>
      <c r="C5" s="821">
        <f>LEFT(FAKTA!D5,40)</f>
      </c>
      <c r="D5" s="822"/>
      <c r="E5" s="823"/>
      <c r="F5" s="392">
        <f>IF(B17="","",IF(OR('ink eft 65,67, uppskjutet uttag'!$F$2&gt;0,'ink eft pens, uttag 65,67'!$I$4&gt;0),"då inkomst efter 65 år är aktuellt",""))</f>
      </c>
      <c r="G5" s="298"/>
      <c r="H5" s="298"/>
      <c r="I5" s="298"/>
      <c r="J5" s="298"/>
    </row>
    <row r="6" spans="1:10" ht="12.75">
      <c r="A6" s="297"/>
      <c r="B6" s="298"/>
      <c r="C6" s="298"/>
      <c r="D6" s="298"/>
      <c r="E6" s="298"/>
      <c r="F6" s="392">
        <f>IF(B17="","",IF(OR('ink eft 65,67, uppskjutet uttag'!$F$2&gt;0,'ink eft pens, uttag 65,67'!$I$4&gt;0),"får du räkna manuellt",""))</f>
      </c>
      <c r="G6" s="298"/>
      <c r="H6" s="298"/>
      <c r="I6" s="298"/>
      <c r="J6" s="298"/>
    </row>
    <row r="7" spans="1:10" ht="12.75">
      <c r="A7" s="297"/>
      <c r="B7" s="298"/>
      <c r="C7" s="298"/>
      <c r="D7" s="298"/>
      <c r="E7" s="298"/>
      <c r="F7" s="298"/>
      <c r="G7" s="300" t="s">
        <v>413</v>
      </c>
      <c r="H7" s="495"/>
      <c r="I7" s="298"/>
      <c r="J7" s="298"/>
    </row>
    <row r="8" spans="1:10" ht="12.75">
      <c r="A8" s="297"/>
      <c r="B8" s="298"/>
      <c r="C8" s="298"/>
      <c r="D8" s="298"/>
      <c r="E8" s="298"/>
      <c r="F8" s="298"/>
      <c r="G8" s="392"/>
      <c r="H8" s="298"/>
      <c r="I8" s="298"/>
      <c r="J8" s="298"/>
    </row>
    <row r="9" spans="1:10" ht="12.75">
      <c r="A9" s="301"/>
      <c r="B9" s="298"/>
      <c r="C9" s="298"/>
      <c r="D9" s="298"/>
      <c r="E9" s="298"/>
      <c r="F9" s="298"/>
      <c r="G9" s="298"/>
      <c r="H9" s="298"/>
      <c r="I9" s="298"/>
      <c r="J9" s="298"/>
    </row>
    <row r="10" spans="1:10" s="304" customFormat="1" ht="12.75">
      <c r="A10" s="300" t="s">
        <v>303</v>
      </c>
      <c r="B10" s="300"/>
      <c r="C10" s="300"/>
      <c r="D10" s="302">
        <f>IF(I3="X",FAKTA!S43,FAKTA!I43)</f>
      </c>
      <c r="E10" s="300"/>
      <c r="F10" s="303">
        <f>SUM(H7)</f>
        <v>0</v>
      </c>
      <c r="G10" s="302">
        <f>IF(D10="",0,SUM(D10*F10))</f>
        <v>0</v>
      </c>
      <c r="H10" s="300"/>
      <c r="I10" s="300"/>
      <c r="J10" s="300"/>
    </row>
    <row r="11" spans="1:10" ht="12.75">
      <c r="A11" s="301"/>
      <c r="B11" s="298"/>
      <c r="C11" s="298"/>
      <c r="D11" s="298"/>
      <c r="E11" s="298"/>
      <c r="F11" s="298"/>
      <c r="G11" s="298"/>
      <c r="H11" s="298"/>
      <c r="I11" s="298"/>
      <c r="J11" s="298"/>
    </row>
    <row r="12" spans="1:11" s="304" customFormat="1" ht="12.75">
      <c r="A12" s="300" t="s">
        <v>304</v>
      </c>
      <c r="B12" s="300"/>
      <c r="C12" s="300"/>
      <c r="D12" s="302">
        <f>IF(I3="X",FAKTA!S44,FAKTA!I44)</f>
      </c>
      <c r="E12" s="300"/>
      <c r="F12" s="300"/>
      <c r="G12" s="300"/>
      <c r="H12" s="300"/>
      <c r="I12" s="300"/>
      <c r="J12" s="300"/>
      <c r="K12" s="304" t="s">
        <v>443</v>
      </c>
    </row>
    <row r="13" spans="1:11" ht="12.75">
      <c r="A13" s="301"/>
      <c r="B13" s="298"/>
      <c r="C13" s="298"/>
      <c r="D13" s="298"/>
      <c r="E13" s="298"/>
      <c r="F13" s="298"/>
      <c r="G13" s="298"/>
      <c r="H13" s="298"/>
      <c r="I13" s="298"/>
      <c r="J13" s="298"/>
      <c r="K13" s="543" t="s">
        <v>440</v>
      </c>
    </row>
    <row r="14" spans="1:11" ht="12.75">
      <c r="A14" s="298" t="s">
        <v>305</v>
      </c>
      <c r="B14" s="298"/>
      <c r="C14" s="298"/>
      <c r="D14" s="305">
        <f>IF(I3="X",FAKTA!S45,FAKTA!I45)</f>
        <v>0</v>
      </c>
      <c r="E14" s="367" t="str">
        <f>IF(I3="X","gift","ogift")</f>
        <v>ogift</v>
      </c>
      <c r="F14" s="298"/>
      <c r="G14" s="298"/>
      <c r="H14" s="298"/>
      <c r="I14" s="298"/>
      <c r="J14" s="298"/>
      <c r="K14" s="543" t="s">
        <v>438</v>
      </c>
    </row>
    <row r="15" spans="1:11" ht="12.75">
      <c r="A15" s="298"/>
      <c r="B15" s="298"/>
      <c r="C15" s="298"/>
      <c r="D15" s="298"/>
      <c r="E15" s="298"/>
      <c r="F15" s="298"/>
      <c r="G15" s="298"/>
      <c r="H15" s="298"/>
      <c r="I15" s="298"/>
      <c r="J15" s="298"/>
      <c r="K15" s="543" t="s">
        <v>439</v>
      </c>
    </row>
    <row r="16" spans="1:11" ht="13.5" thickBot="1">
      <c r="A16" s="298" t="s">
        <v>355</v>
      </c>
      <c r="B16" s="298"/>
      <c r="C16" s="298"/>
      <c r="D16" s="298"/>
      <c r="E16" s="298"/>
      <c r="F16" s="298"/>
      <c r="G16" s="298"/>
      <c r="H16" s="298"/>
      <c r="I16" s="298"/>
      <c r="J16" s="298"/>
      <c r="K16" s="543" t="s">
        <v>441</v>
      </c>
    </row>
    <row r="17" spans="1:11" ht="13.5" thickBot="1">
      <c r="A17" s="298"/>
      <c r="B17" s="306"/>
      <c r="C17" s="298"/>
      <c r="D17" s="514">
        <f>IF(D14="","",SUM(D14*B17))</f>
        <v>0</v>
      </c>
      <c r="E17" s="298"/>
      <c r="F17" s="298"/>
      <c r="G17" s="305">
        <f>IF(D14="","",IF(D12="",0,SUM(D12+D17)))</f>
        <v>0</v>
      </c>
      <c r="H17" s="298"/>
      <c r="I17" s="298"/>
      <c r="J17" s="298"/>
      <c r="K17" s="543" t="s">
        <v>442</v>
      </c>
    </row>
    <row r="18" spans="1:10" ht="12.75">
      <c r="A18" s="298"/>
      <c r="B18" s="298"/>
      <c r="C18" s="298"/>
      <c r="D18" s="298"/>
      <c r="E18" s="298"/>
      <c r="F18" s="298"/>
      <c r="G18" s="298"/>
      <c r="H18" s="298"/>
      <c r="I18" s="298"/>
      <c r="J18" s="298"/>
    </row>
    <row r="19" spans="1:10" ht="12.75">
      <c r="A19" s="298" t="s">
        <v>306</v>
      </c>
      <c r="B19" s="298"/>
      <c r="C19" s="298"/>
      <c r="D19" s="298"/>
      <c r="E19" s="298"/>
      <c r="F19" s="298"/>
      <c r="G19" s="298"/>
      <c r="H19" s="298"/>
      <c r="I19" s="298"/>
      <c r="J19" s="298"/>
    </row>
    <row r="20" spans="1:10" ht="12.75">
      <c r="A20" s="298">
        <v>1</v>
      </c>
      <c r="B20" s="298">
        <f>IF(D17="","",IF(B17="","",IF(G17&gt;G10,"Den kvotdelsjämkade förlusten och pension som skadad uppgår till minst garantinivån","")))</f>
      </c>
      <c r="C20" s="298"/>
      <c r="D20" s="298"/>
      <c r="E20" s="298"/>
      <c r="F20" s="298"/>
      <c r="G20" s="298"/>
      <c r="H20" s="298"/>
      <c r="I20" s="298"/>
      <c r="J20" s="298"/>
    </row>
    <row r="21" spans="1:10" ht="12.75">
      <c r="A21" s="298"/>
      <c r="B21" s="298">
        <f>IF(D17="","",IF(B17="","",IF(G17&gt;G10,"som oskadad. Något tillägg skall ej göras utan ersättning utgår med","")))</f>
      </c>
      <c r="C21" s="298"/>
      <c r="D21" s="298"/>
      <c r="E21" s="298"/>
      <c r="F21" s="298"/>
      <c r="G21" s="298"/>
      <c r="H21" s="307">
        <f>IF(B17="","",IF(G17&gt;G10,D17,""))</f>
      </c>
      <c r="I21" s="298"/>
      <c r="J21" s="298"/>
    </row>
    <row r="22" spans="1:10" ht="12.75">
      <c r="A22" s="298" t="s">
        <v>307</v>
      </c>
      <c r="B22" s="298"/>
      <c r="C22" s="298"/>
      <c r="D22" s="298"/>
      <c r="E22" s="298"/>
      <c r="F22" s="298"/>
      <c r="G22" s="298"/>
      <c r="H22" s="298"/>
      <c r="I22" s="298"/>
      <c r="J22" s="298"/>
    </row>
    <row r="23" spans="1:10" ht="12.75">
      <c r="A23" s="298">
        <v>2</v>
      </c>
      <c r="B23" s="298">
        <f>IF(B17="","",IF(G17&lt;G10,"Den kvotdelsjämkade förlusten uppgår inte till garantinivån som oskadad",""))</f>
      </c>
      <c r="C23" s="298"/>
      <c r="D23" s="298"/>
      <c r="E23" s="298"/>
      <c r="F23" s="298"/>
      <c r="G23" s="298"/>
      <c r="H23" s="298"/>
      <c r="I23" s="298"/>
      <c r="J23" s="298"/>
    </row>
    <row r="24" spans="1:10" ht="12.75">
      <c r="A24" s="298"/>
      <c r="B24" s="298">
        <f>IF(B17="","",IF(G17&lt;G10,"den kvotdelsjämkade förlusten behöver kompletteras med ett tillägg på",""))</f>
      </c>
      <c r="C24" s="298"/>
      <c r="D24" s="298"/>
      <c r="E24" s="298"/>
      <c r="F24" s="298"/>
      <c r="G24" s="298"/>
      <c r="H24" s="308">
        <f>IF(B17="","",IF(G17&lt;G10,G10-G17,""))</f>
      </c>
      <c r="I24" s="298"/>
      <c r="J24" s="298"/>
    </row>
    <row r="25" spans="1:10" ht="12.75">
      <c r="A25" s="298"/>
      <c r="B25" s="298"/>
      <c r="C25" s="298"/>
      <c r="D25" s="298"/>
      <c r="E25" s="298"/>
      <c r="F25" s="298"/>
      <c r="G25" s="298"/>
      <c r="H25" s="298"/>
      <c r="I25" s="298"/>
      <c r="J25" s="298"/>
    </row>
    <row r="26" spans="1:10" ht="12.75">
      <c r="A26" s="298"/>
      <c r="B26" s="298">
        <f>IF(B17="","",IF(G17&lt;G10,"Pensionsförlust lämnas med",""))</f>
      </c>
      <c r="C26" s="298"/>
      <c r="D26" s="298"/>
      <c r="E26" s="307">
        <f>IF(B17="","",IF(G17&lt;G10,G10-G17+D17,""))</f>
      </c>
      <c r="F26" s="298"/>
      <c r="G26" s="298"/>
      <c r="H26" s="298"/>
      <c r="I26" s="298"/>
      <c r="J26" s="298"/>
    </row>
    <row r="27" spans="1:10" ht="12.75">
      <c r="A27" s="298"/>
      <c r="B27" s="298"/>
      <c r="C27" s="298"/>
      <c r="D27" s="298"/>
      <c r="E27" s="298"/>
      <c r="F27" s="298"/>
      <c r="G27" s="298"/>
      <c r="H27" s="298"/>
      <c r="I27" s="298"/>
      <c r="J27" s="298"/>
    </row>
    <row r="28" spans="1:10" ht="12.75">
      <c r="A28" s="298"/>
      <c r="B28" s="298"/>
      <c r="C28" s="298"/>
      <c r="D28" s="298"/>
      <c r="E28" s="298"/>
      <c r="F28" s="298"/>
      <c r="G28" s="298"/>
      <c r="H28" s="298"/>
      <c r="I28" s="298"/>
      <c r="J28" s="298"/>
    </row>
    <row r="29" spans="1:10" ht="12.75">
      <c r="A29" s="298"/>
      <c r="B29" s="20" t="s">
        <v>259</v>
      </c>
      <c r="C29" s="591">
        <f>SUM(FAKTA!C47)</f>
        <v>45292</v>
      </c>
      <c r="D29" s="298"/>
      <c r="E29" s="298"/>
      <c r="F29" s="298"/>
      <c r="G29" s="298" t="s">
        <v>308</v>
      </c>
      <c r="H29" s="591">
        <f ca="1">TODAY()</f>
        <v>45345</v>
      </c>
      <c r="I29" s="298"/>
      <c r="J29" s="298"/>
    </row>
    <row r="30" spans="1:10" ht="12.75">
      <c r="A30" s="298"/>
      <c r="B30" s="298"/>
      <c r="C30" s="298"/>
      <c r="D30" s="298"/>
      <c r="E30" s="298"/>
      <c r="F30" s="298"/>
      <c r="G30" s="298"/>
      <c r="H30" s="309" t="s">
        <v>335</v>
      </c>
      <c r="I30" s="298"/>
      <c r="J30" s="298"/>
    </row>
  </sheetData>
  <sheetProtection password="C488" sheet="1" objects="1" scenarios="1"/>
  <mergeCells count="3">
    <mergeCell ref="C3:E3"/>
    <mergeCell ref="C5:E5"/>
    <mergeCell ref="G3:H3"/>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AH75"/>
  <sheetViews>
    <sheetView zoomScale="112" zoomScaleNormal="112" zoomScalePageLayoutView="0" workbookViewId="0" topLeftCell="A1">
      <selection activeCell="E1" sqref="E1"/>
    </sheetView>
  </sheetViews>
  <sheetFormatPr defaultColWidth="9.140625" defaultRowHeight="12.75"/>
  <cols>
    <col min="1" max="1" width="12.7109375" style="313" customWidth="1"/>
    <col min="2" max="2" width="10.421875" style="313" customWidth="1"/>
    <col min="3" max="3" width="11.421875" style="313" customWidth="1"/>
    <col min="4" max="4" width="8.421875" style="313" customWidth="1"/>
    <col min="5" max="5" width="9.57421875" style="313" bestFit="1" customWidth="1"/>
    <col min="6" max="6" width="9.00390625" style="313" customWidth="1"/>
    <col min="7" max="7" width="8.57421875" style="313" customWidth="1"/>
    <col min="8" max="9" width="8.8515625" style="313" customWidth="1"/>
    <col min="10" max="10" width="1.8515625" style="313" customWidth="1"/>
    <col min="11" max="11" width="3.140625" style="313" customWidth="1"/>
    <col min="12" max="12" width="5.28125" style="313" customWidth="1"/>
    <col min="13" max="13" width="7.57421875" style="313" customWidth="1"/>
    <col min="14" max="14" width="7.421875" style="313" customWidth="1"/>
    <col min="15" max="15" width="7.7109375" style="313" customWidth="1"/>
    <col min="16" max="16" width="6.00390625" style="660" customWidth="1"/>
    <col min="17" max="17" width="8.140625" style="313" customWidth="1"/>
    <col min="18" max="18" width="10.140625" style="313" customWidth="1"/>
    <col min="19" max="19" width="8.140625" style="313" customWidth="1"/>
    <col min="20" max="20" width="7.28125" style="313" customWidth="1"/>
    <col min="21" max="21" width="7.00390625" style="313" customWidth="1"/>
    <col min="22" max="22" width="7.7109375" style="313" customWidth="1"/>
    <col min="23" max="23" width="7.421875" style="313" customWidth="1"/>
    <col min="24" max="24" width="10.140625" style="313" hidden="1" customWidth="1"/>
    <col min="25" max="25" width="9.140625" style="313" hidden="1" customWidth="1"/>
    <col min="26" max="26" width="12.57421875" style="313" customWidth="1"/>
    <col min="27" max="27" width="15.421875" style="313" customWidth="1"/>
    <col min="28" max="28" width="10.57421875" style="313" customWidth="1"/>
    <col min="29" max="16384" width="9.140625" style="313" customWidth="1"/>
  </cols>
  <sheetData>
    <row r="1" spans="1:26" ht="12.75">
      <c r="A1" s="377" t="s">
        <v>485</v>
      </c>
      <c r="B1" s="378"/>
      <c r="C1" s="378" t="s">
        <v>484</v>
      </c>
      <c r="D1" s="378"/>
      <c r="E1" s="311"/>
      <c r="F1" s="312" t="s">
        <v>309</v>
      </c>
      <c r="G1" s="311"/>
      <c r="H1" s="311" t="s">
        <v>4</v>
      </c>
      <c r="I1" s="311"/>
      <c r="J1" s="311"/>
      <c r="K1" s="311"/>
      <c r="L1" s="310" t="s">
        <v>516</v>
      </c>
      <c r="M1" s="718"/>
      <c r="N1" s="718"/>
      <c r="O1" s="637"/>
      <c r="P1" s="724"/>
      <c r="Q1" s="637"/>
      <c r="R1" s="637"/>
      <c r="S1" s="311"/>
      <c r="T1" s="311"/>
      <c r="U1" s="311"/>
      <c r="V1" s="311"/>
      <c r="W1" s="311"/>
      <c r="X1" s="386"/>
      <c r="Z1" s="715"/>
    </row>
    <row r="2" spans="1:24" ht="12">
      <c r="A2" s="492">
        <f>IF(FAKTA!K5="","",IF('uppdat-hjälpberäkn'!M2&lt;1961,"Skriv in pensionsålder: 66, 67, 68, 69 eller 70","Skriv in pensionsålder: 68, 69 eller 70"))</f>
      </c>
      <c r="B2" s="492"/>
      <c r="C2" s="492"/>
      <c r="D2" s="492"/>
      <c r="E2" s="311"/>
      <c r="F2" s="315"/>
      <c r="G2" s="311"/>
      <c r="H2" s="316">
        <f>IF(F2="","",LOOKUP(F2,'uppdat-hjälpberäkn'!M4:M9,'uppdat-hjälpberäkn'!N4:N9))</f>
      </c>
      <c r="I2" s="317"/>
      <c r="J2" s="311"/>
      <c r="K2" s="311"/>
      <c r="L2" s="317"/>
      <c r="M2" s="317"/>
      <c r="N2" s="317"/>
      <c r="O2" s="317"/>
      <c r="P2" s="321"/>
      <c r="Q2" s="317"/>
      <c r="R2" s="317"/>
      <c r="S2" s="317"/>
      <c r="T2" s="317"/>
      <c r="U2" s="317"/>
      <c r="V2" s="317"/>
      <c r="W2" s="317"/>
      <c r="X2" s="386"/>
    </row>
    <row r="3" spans="1:26" ht="12">
      <c r="A3" s="311" t="s">
        <v>310</v>
      </c>
      <c r="B3" s="311"/>
      <c r="C3" s="311"/>
      <c r="D3" s="311"/>
      <c r="E3" s="311"/>
      <c r="F3" s="317" t="s">
        <v>71</v>
      </c>
      <c r="G3" s="311"/>
      <c r="H3" s="311"/>
      <c r="I3" s="311"/>
      <c r="J3" s="311"/>
      <c r="K3" s="311"/>
      <c r="L3" s="317" t="s">
        <v>502</v>
      </c>
      <c r="M3" s="317"/>
      <c r="N3" s="317"/>
      <c r="O3" s="317"/>
      <c r="P3" s="321"/>
      <c r="Q3" s="317"/>
      <c r="R3" s="317"/>
      <c r="S3" s="317"/>
      <c r="T3" s="317"/>
      <c r="U3" s="317"/>
      <c r="V3" s="317"/>
      <c r="W3" s="317"/>
      <c r="X3" s="386"/>
      <c r="Z3" s="715"/>
    </row>
    <row r="4" spans="1:26" ht="12">
      <c r="A4" s="318">
        <f>LEFT(FAKTA!D3,40)</f>
      </c>
      <c r="B4" s="319"/>
      <c r="C4" s="319"/>
      <c r="D4" s="320"/>
      <c r="E4" s="311"/>
      <c r="F4" s="393">
        <f>IF(F2="","",SUM(18.5%*0.93/H2))</f>
      </c>
      <c r="G4" s="843">
        <f>SUM(H2)</f>
        <v>0</v>
      </c>
      <c r="H4" s="844"/>
      <c r="I4" s="311"/>
      <c r="J4" s="311"/>
      <c r="K4" s="311"/>
      <c r="L4" s="827">
        <f>LEFT(FAKTA!D3,40)</f>
      </c>
      <c r="M4" s="828"/>
      <c r="N4" s="828"/>
      <c r="O4" s="829"/>
      <c r="P4" s="321"/>
      <c r="Q4" s="317"/>
      <c r="R4" s="317"/>
      <c r="S4" s="317"/>
      <c r="T4" s="317"/>
      <c r="U4" s="317"/>
      <c r="V4" s="317"/>
      <c r="W4" s="317"/>
      <c r="X4" s="386"/>
      <c r="Z4" s="661"/>
    </row>
    <row r="5" spans="1:26" ht="12">
      <c r="A5" s="311" t="s">
        <v>0</v>
      </c>
      <c r="B5" s="311"/>
      <c r="C5" s="311"/>
      <c r="D5" s="311"/>
      <c r="E5" s="311"/>
      <c r="F5" s="394">
        <f>IF(F2="","",SUM(18.5%/H2))</f>
      </c>
      <c r="G5" s="830">
        <f>SUM(H2)</f>
        <v>0</v>
      </c>
      <c r="H5" s="831"/>
      <c r="I5" s="311"/>
      <c r="J5" s="311"/>
      <c r="K5" s="311"/>
      <c r="L5" s="317" t="s">
        <v>0</v>
      </c>
      <c r="M5" s="317"/>
      <c r="N5" s="317"/>
      <c r="O5" s="317"/>
      <c r="P5" s="321"/>
      <c r="Q5" s="317"/>
      <c r="R5" s="317"/>
      <c r="S5" s="317"/>
      <c r="T5" s="317"/>
      <c r="U5" s="317"/>
      <c r="V5" s="317"/>
      <c r="W5" s="317"/>
      <c r="X5" s="386"/>
      <c r="Z5" s="661"/>
    </row>
    <row r="6" spans="1:26" ht="12">
      <c r="A6" s="318">
        <f>LEFT(FAKTA!D5,40)</f>
      </c>
      <c r="B6" s="319"/>
      <c r="C6" s="319"/>
      <c r="D6" s="320"/>
      <c r="E6" s="311"/>
      <c r="F6" s="317" t="s">
        <v>311</v>
      </c>
      <c r="G6" s="311"/>
      <c r="H6" s="321" t="s">
        <v>492</v>
      </c>
      <c r="I6" s="311"/>
      <c r="J6" s="311"/>
      <c r="K6" s="311"/>
      <c r="L6" s="827">
        <f>LEFT(FAKTA!D5,40)</f>
      </c>
      <c r="M6" s="828"/>
      <c r="N6" s="828"/>
      <c r="O6" s="829"/>
      <c r="P6" s="321"/>
      <c r="Q6" s="317"/>
      <c r="R6" s="317"/>
      <c r="S6" s="317"/>
      <c r="T6" s="317"/>
      <c r="U6" s="317"/>
      <c r="V6" s="317"/>
      <c r="W6" s="317"/>
      <c r="X6" s="386"/>
      <c r="Z6" s="661"/>
    </row>
    <row r="7" spans="1:26" ht="12">
      <c r="A7" s="311" t="s">
        <v>65</v>
      </c>
      <c r="B7" s="311"/>
      <c r="C7" s="311"/>
      <c r="D7" s="311"/>
      <c r="E7" s="311"/>
      <c r="F7" s="322">
        <f>IF(F2="","",SUM(FAKTA!K5))</f>
      </c>
      <c r="G7" s="311"/>
      <c r="H7" s="322">
        <f>IF(F2="","",SUM('uppdat-hjälpberäkn'!N17))</f>
      </c>
      <c r="I7" s="616"/>
      <c r="J7" s="311"/>
      <c r="K7" s="311"/>
      <c r="L7" s="317" t="s">
        <v>65</v>
      </c>
      <c r="M7" s="317"/>
      <c r="N7" s="317"/>
      <c r="O7" s="317"/>
      <c r="P7" s="321"/>
      <c r="Q7" s="317"/>
      <c r="R7" s="317"/>
      <c r="S7" s="317"/>
      <c r="T7" s="317"/>
      <c r="U7" s="317"/>
      <c r="V7" s="317"/>
      <c r="W7" s="317"/>
      <c r="X7" s="386"/>
      <c r="Z7" s="661"/>
    </row>
    <row r="8" spans="1:26" ht="12">
      <c r="A8" s="318">
        <f>LEFT(FAKTA!D7,40)</f>
      </c>
      <c r="B8" s="319"/>
      <c r="C8" s="319"/>
      <c r="D8" s="320"/>
      <c r="E8" s="311"/>
      <c r="F8" s="311"/>
      <c r="G8" s="311"/>
      <c r="H8" s="311"/>
      <c r="I8" s="311"/>
      <c r="J8" s="311"/>
      <c r="K8" s="311"/>
      <c r="L8" s="827">
        <f>LEFT(FAKTA!D7,40)</f>
      </c>
      <c r="M8" s="828"/>
      <c r="N8" s="828"/>
      <c r="O8" s="829"/>
      <c r="P8" s="321"/>
      <c r="Q8" s="321" t="s">
        <v>555</v>
      </c>
      <c r="R8" s="317"/>
      <c r="S8" s="317"/>
      <c r="T8" s="317"/>
      <c r="U8" s="317"/>
      <c r="V8" s="317"/>
      <c r="W8" s="317"/>
      <c r="X8" s="386" t="s">
        <v>566</v>
      </c>
      <c r="Y8" s="313" t="e">
        <f>SMALL(L16:L24,1)</f>
        <v>#NUM!</v>
      </c>
      <c r="Z8" s="661"/>
    </row>
    <row r="9" spans="1:26" ht="12">
      <c r="A9" s="311"/>
      <c r="B9" s="311"/>
      <c r="C9" s="311"/>
      <c r="D9" s="311"/>
      <c r="E9" s="312"/>
      <c r="F9" s="317" t="s">
        <v>123</v>
      </c>
      <c r="G9" s="311"/>
      <c r="H9" s="482" t="s">
        <v>406</v>
      </c>
      <c r="I9" s="483"/>
      <c r="J9" s="311"/>
      <c r="K9" s="311"/>
      <c r="L9" s="317"/>
      <c r="M9" s="317"/>
      <c r="N9" s="317"/>
      <c r="O9" s="317"/>
      <c r="P9" s="321"/>
      <c r="Q9" s="321" t="s">
        <v>556</v>
      </c>
      <c r="R9" s="317" t="s">
        <v>515</v>
      </c>
      <c r="S9" s="317"/>
      <c r="T9" s="317"/>
      <c r="U9" s="317"/>
      <c r="V9" s="317"/>
      <c r="W9" s="317"/>
      <c r="X9" s="386"/>
      <c r="Z9" s="661"/>
    </row>
    <row r="10" spans="1:26" ht="12">
      <c r="A10" s="310" t="s">
        <v>312</v>
      </c>
      <c r="B10" s="311"/>
      <c r="C10" s="310" t="s">
        <v>313</v>
      </c>
      <c r="D10" s="311"/>
      <c r="E10" s="710"/>
      <c r="F10" s="316">
        <f>SUM(FAKTA!N7)</f>
        <v>0</v>
      </c>
      <c r="G10" s="311"/>
      <c r="H10" s="484" t="s">
        <v>327</v>
      </c>
      <c r="I10" s="485" t="s">
        <v>328</v>
      </c>
      <c r="J10" s="311"/>
      <c r="K10" s="311"/>
      <c r="L10" s="317" t="s">
        <v>518</v>
      </c>
      <c r="M10" s="321"/>
      <c r="N10" s="490">
        <f>IF(F2="","",F2)</f>
      </c>
      <c r="O10" s="845">
        <f>IF(N10="","",I11)</f>
      </c>
      <c r="P10" s="846"/>
      <c r="Q10" s="727">
        <f>IF(N10="","",Blad1!AJ43)</f>
      </c>
      <c r="R10" s="342">
        <f>IF(F2="","",SUM(O10+1))</f>
      </c>
      <c r="S10" s="317">
        <f>IF(R10="","",YEAR(R10))</f>
      </c>
      <c r="T10" s="317"/>
      <c r="U10" s="317"/>
      <c r="V10" s="317"/>
      <c r="W10" s="317"/>
      <c r="X10" s="386" t="s">
        <v>293</v>
      </c>
      <c r="Y10" s="313" t="e">
        <f>LARGE(L16:L24,1)</f>
        <v>#NUM!</v>
      </c>
      <c r="Z10" s="661"/>
    </row>
    <row r="11" spans="1:27" ht="12">
      <c r="A11" s="311"/>
      <c r="B11" s="311"/>
      <c r="C11" s="311"/>
      <c r="D11" s="311"/>
      <c r="E11" s="311"/>
      <c r="F11" s="311"/>
      <c r="G11" s="311"/>
      <c r="H11" s="778">
        <f>IF(F2="","",Blad1!Z23)</f>
      </c>
      <c r="I11" s="779">
        <f>IF(F2="","",LOOKUP(F2,Blad1!W11:W21,Blad1!Q11:Q21))</f>
      </c>
      <c r="J11" s="311"/>
      <c r="K11" s="311"/>
      <c r="L11" s="856" t="s">
        <v>562</v>
      </c>
      <c r="M11" s="857"/>
      <c r="N11" s="728"/>
      <c r="O11" s="845">
        <f>IF(N11="","",LOOKUP(N11,Blad1!W11:W21,Blad1!V11:V21))</f>
      </c>
      <c r="P11" s="846"/>
      <c r="Q11" s="727">
        <f>IF(N11="","",SUM(Blad1!AJ42))</f>
      </c>
      <c r="R11" s="342">
        <f>IF(F7="","",IF(N11="","",Blad1!AE23))</f>
      </c>
      <c r="S11" s="317">
        <f>IF(R11="","",YEAR(R11))</f>
      </c>
      <c r="T11" s="317"/>
      <c r="U11" s="317"/>
      <c r="V11" s="317"/>
      <c r="W11" s="317"/>
      <c r="X11" s="386"/>
      <c r="AA11" s="721"/>
    </row>
    <row r="12" spans="1:29" ht="12">
      <c r="A12" s="321" t="s">
        <v>314</v>
      </c>
      <c r="B12" s="321" t="s">
        <v>315</v>
      </c>
      <c r="C12" s="323">
        <f>SUM(FAKTA!J37)</f>
        <v>0</v>
      </c>
      <c r="D12" s="311"/>
      <c r="E12" s="311"/>
      <c r="F12" s="321" t="s">
        <v>316</v>
      </c>
      <c r="G12" s="311"/>
      <c r="H12" s="780"/>
      <c r="I12" s="781">
        <f>IF(F2="","",F2)</f>
      </c>
      <c r="J12" s="311"/>
      <c r="K12" s="311"/>
      <c r="L12" s="317"/>
      <c r="M12" s="317"/>
      <c r="N12" s="317"/>
      <c r="O12" s="317"/>
      <c r="P12" s="321"/>
      <c r="Q12" s="317"/>
      <c r="R12" s="317"/>
      <c r="S12" s="317"/>
      <c r="T12" s="317"/>
      <c r="U12" s="317"/>
      <c r="V12" s="317"/>
      <c r="W12" s="317"/>
      <c r="X12" s="386"/>
      <c r="AB12" s="774"/>
      <c r="AC12" s="774"/>
    </row>
    <row r="13" spans="1:24" ht="12">
      <c r="A13" s="324">
        <f>IF(F2="",0,FAKTA!K35)</f>
        <v>0</v>
      </c>
      <c r="B13" s="325">
        <f>IF(F2="","",LOOKUP(F2,'uppdat-hjälpberäkn'!M4:M9,'uppdat-hjälpberäkn'!N4:N9))</f>
      </c>
      <c r="C13" s="326">
        <f>IF(F2="","",A13/B13)</f>
      </c>
      <c r="D13" s="311"/>
      <c r="E13" s="321"/>
      <c r="F13" s="611">
        <f>SUM('uppdat-hjälpberäkn'!N1)</f>
        <v>0</v>
      </c>
      <c r="G13" s="311"/>
      <c r="H13" s="490">
        <f>IF(H11="","",YEAR(H11))</f>
      </c>
      <c r="I13" s="490">
        <f>IF(I11="","",YEAR(I11))</f>
      </c>
      <c r="J13" s="311"/>
      <c r="K13" s="311"/>
      <c r="L13" s="317"/>
      <c r="M13" s="317"/>
      <c r="N13" s="321" t="s">
        <v>553</v>
      </c>
      <c r="O13" s="321"/>
      <c r="P13" s="321"/>
      <c r="Q13" s="317"/>
      <c r="R13" s="317"/>
      <c r="S13" s="317"/>
      <c r="T13" s="317"/>
      <c r="U13" s="317"/>
      <c r="V13" s="772"/>
      <c r="W13" s="772"/>
      <c r="X13" s="386"/>
    </row>
    <row r="14" spans="1:24" ht="12">
      <c r="A14" s="311"/>
      <c r="B14" s="317"/>
      <c r="C14" s="311"/>
      <c r="D14" s="311"/>
      <c r="E14" s="321"/>
      <c r="F14" s="372">
        <f>IF(F2="",0,C13+E16)</f>
        <v>0</v>
      </c>
      <c r="G14" s="311"/>
      <c r="H14" s="311"/>
      <c r="I14" s="169"/>
      <c r="J14" s="311"/>
      <c r="K14" s="311"/>
      <c r="L14" s="321" t="s">
        <v>1</v>
      </c>
      <c r="M14" s="321" t="s">
        <v>38</v>
      </c>
      <c r="N14" s="321" t="s">
        <v>554</v>
      </c>
      <c r="O14" s="317"/>
      <c r="P14" s="321" t="s">
        <v>555</v>
      </c>
      <c r="Q14" s="321" t="s">
        <v>38</v>
      </c>
      <c r="R14" s="321" t="s">
        <v>498</v>
      </c>
      <c r="S14" s="317"/>
      <c r="T14" s="317"/>
      <c r="U14" s="317"/>
      <c r="V14" s="770" t="s">
        <v>551</v>
      </c>
      <c r="W14" s="770" t="s">
        <v>552</v>
      </c>
      <c r="X14" s="386"/>
    </row>
    <row r="15" spans="1:28" ht="12">
      <c r="A15" s="609">
        <f>SUM('uppdat-hjälpberäkn'!N1)</f>
        <v>0</v>
      </c>
      <c r="B15" s="321" t="s">
        <v>317</v>
      </c>
      <c r="C15" s="321" t="s">
        <v>300</v>
      </c>
      <c r="D15" s="321" t="s">
        <v>318</v>
      </c>
      <c r="E15" s="610">
        <f>SUM('uppdat-hjälpberäkn'!N1)</f>
        <v>0</v>
      </c>
      <c r="F15" s="311"/>
      <c r="G15" s="321"/>
      <c r="H15" s="826" t="s">
        <v>500</v>
      </c>
      <c r="I15" s="820"/>
      <c r="J15" s="311"/>
      <c r="K15" s="311"/>
      <c r="L15" s="321"/>
      <c r="M15" s="321" t="s">
        <v>40</v>
      </c>
      <c r="N15" s="317" t="s">
        <v>8</v>
      </c>
      <c r="O15" s="321" t="s">
        <v>9</v>
      </c>
      <c r="P15" s="321" t="s">
        <v>556</v>
      </c>
      <c r="Q15" s="321" t="s">
        <v>209</v>
      </c>
      <c r="R15" s="321" t="s">
        <v>402</v>
      </c>
      <c r="S15" s="729" t="s">
        <v>8</v>
      </c>
      <c r="T15" s="729" t="s">
        <v>9</v>
      </c>
      <c r="U15" s="729" t="s">
        <v>474</v>
      </c>
      <c r="V15" s="769">
        <f>IF(P16="","",H42*P16)</f>
      </c>
      <c r="W15" s="769">
        <f>IF(P16="","",H50*P16)</f>
      </c>
      <c r="X15" s="386"/>
      <c r="Z15" s="719"/>
      <c r="AA15" s="719"/>
      <c r="AB15" s="719"/>
    </row>
    <row r="16" spans="1:29" ht="12">
      <c r="A16" s="369">
        <f>IF(F2="","",IF('uppdat-hjälpberäkn'!N21&lt;=0,0,'uppdat-hjälpberäkn'!N21))</f>
      </c>
      <c r="B16" s="324">
        <f>IF(F2="",0,SUM(FAKTA!K37))</f>
        <v>0</v>
      </c>
      <c r="C16" s="327">
        <f>IF(B16=0,0,SUM(B16*A16))</f>
        <v>0</v>
      </c>
      <c r="D16" s="328">
        <f>IF(F2="","",ROUND(18.5%*0.93/B13,4))</f>
      </c>
      <c r="E16" s="329">
        <f>IF(F2="","",C16*D16)</f>
      </c>
      <c r="F16" s="311"/>
      <c r="G16" s="370"/>
      <c r="H16" s="826" t="s">
        <v>499</v>
      </c>
      <c r="I16" s="820"/>
      <c r="J16" s="311"/>
      <c r="K16" s="311"/>
      <c r="L16" s="731">
        <f>IF(S10="","",S10)</f>
      </c>
      <c r="M16" s="732">
        <f>IF(OR(L16=0,L16=""),"",IF(LOOKUP(L16,'uppdat-hjälpberäkn'!$F$4:$F$94,'uppdat-hjälpberäkn'!$H$4:$H$94)=0,'uppdat-hjälpberäkn'!$H$101,LOOKUP($Y$8,'uppdat-hjälpberäkn'!$F$4:$F$94,'uppdat-hjälpberäkn'!$H$4:$H$94)))</f>
      </c>
      <c r="N16" s="733"/>
      <c r="O16" s="733"/>
      <c r="P16" s="734">
        <f>IF(L16="","",IF($N$11="","",IF(Blad1!AF51="","",SUM(Blad1!AF51))))</f>
      </c>
      <c r="Q16" s="726">
        <f>IF(L16="","",SUM((N16-O16)*P16))</f>
      </c>
      <c r="R16" s="735">
        <f>IF(L16="","",LOOKUP(L16,Blad1!$I$12:$I$22,Blad1!$D$12:$D$22))</f>
      </c>
      <c r="S16" s="736">
        <f>IF(N16="","",SUM(N16*P16*R16))</f>
      </c>
      <c r="T16" s="736">
        <f>IF(O16="","",SUM(O16*P16*R16))</f>
      </c>
      <c r="U16" s="736">
        <f>IF(L16="","",IF(O16="",S16,SUM(S16-T16)))</f>
      </c>
      <c r="V16" s="730">
        <f>IF(L16="","",SUM(V15+U16))</f>
      </c>
      <c r="W16" s="730">
        <f>IF(L16="","",SUM(W15+U16))</f>
      </c>
      <c r="X16" s="773"/>
      <c r="Y16" s="719"/>
      <c r="Z16" s="776"/>
      <c r="AB16" s="719"/>
      <c r="AC16" s="719"/>
    </row>
    <row r="17" spans="1:29" ht="12">
      <c r="A17" s="311"/>
      <c r="B17" s="321" t="s">
        <v>351</v>
      </c>
      <c r="C17" s="311"/>
      <c r="D17" s="311"/>
      <c r="E17" s="311"/>
      <c r="F17" s="321" t="s">
        <v>351</v>
      </c>
      <c r="G17" s="311"/>
      <c r="H17" s="311"/>
      <c r="I17" s="311"/>
      <c r="J17" s="311"/>
      <c r="K17" s="311"/>
      <c r="L17" s="731">
        <f>IF($S$11&gt;$S$10,L16+1,"")</f>
      </c>
      <c r="M17" s="732">
        <f>IF(OR(L17=0,L17=""),"",IF(LOOKUP(L17,'uppdat-hjälpberäkn'!$F$4:$F$94,'uppdat-hjälpberäkn'!$H$4:$H$94)=0,'uppdat-hjälpberäkn'!$H$101,LOOKUP(L17,'uppdat-hjälpberäkn'!$F$4:$F$94,'uppdat-hjälpberäkn'!$H$4:$H$94)))</f>
      </c>
      <c r="N17" s="733"/>
      <c r="O17" s="733"/>
      <c r="P17" s="734">
        <f>IF(L17="","",IF($N$11="","",IF(Blad1!AF52="","",SUM(Blad1!AF52))))</f>
      </c>
      <c r="Q17" s="726">
        <f aca="true" t="shared" si="0" ref="Q17:Q24">IF(L17="","",SUM((N17-O17)*P17))</f>
      </c>
      <c r="R17" s="735">
        <f>IF(L17="","",LOOKUP(L17,Blad1!$I$12:$I$22,Blad1!$D$12:$D$22))</f>
      </c>
      <c r="S17" s="736">
        <f aca="true" t="shared" si="1" ref="S17:S24">IF(N17="","",SUM(N17*P17*R17))</f>
      </c>
      <c r="T17" s="736">
        <f aca="true" t="shared" si="2" ref="T17:T24">IF(O17="","",SUM(O17*P17*R17))</f>
      </c>
      <c r="U17" s="736">
        <f aca="true" t="shared" si="3" ref="U17:U24">IF(L17="","",IF(O17="",S17,SUM(S17-T17)))</f>
      </c>
      <c r="V17" s="730">
        <f>IF(L17="","",IF(L17=$Y$10,((H42*$Q$11)+U16+U17),SUM($H$42+U17+U16)))</f>
      </c>
      <c r="W17" s="730">
        <f>IF(L17="","",IF(L17=$Y$10,((H50*$Q$11)+U16+U17),SUM($H$50+U16+U17)))</f>
      </c>
      <c r="X17" s="773"/>
      <c r="Y17" s="719"/>
      <c r="Z17" s="776"/>
      <c r="AA17" s="719"/>
      <c r="AB17" s="719"/>
      <c r="AC17" s="719"/>
    </row>
    <row r="18" spans="1:28" ht="12">
      <c r="A18" s="487" t="s">
        <v>92</v>
      </c>
      <c r="B18" s="321" t="s">
        <v>279</v>
      </c>
      <c r="C18" s="321" t="s">
        <v>407</v>
      </c>
      <c r="D18" s="486">
        <f>IF(F2="","",ROUND(18.5%*0.93/H2,4))</f>
      </c>
      <c r="E18" s="321" t="s">
        <v>92</v>
      </c>
      <c r="F18" s="321" t="s">
        <v>279</v>
      </c>
      <c r="G18" s="321" t="s">
        <v>407</v>
      </c>
      <c r="H18" s="486">
        <f>IF(F2="","",ROUND(18.5%*0.93/H2,4))</f>
      </c>
      <c r="I18" s="372">
        <f>SUM(F14+D22+H22)</f>
        <v>0</v>
      </c>
      <c r="J18" s="311"/>
      <c r="K18" s="311"/>
      <c r="L18" s="731">
        <f>IF(L17="","",IF(L17&lt;$S$11,L17+1,""))</f>
      </c>
      <c r="M18" s="732">
        <f>IF(OR(L18=0,L18=""),"",IF(LOOKUP(L18,'uppdat-hjälpberäkn'!$F$4:$F$94,'uppdat-hjälpberäkn'!$H$4:$H$94)=0,'uppdat-hjälpberäkn'!$H$101,LOOKUP(L18,'uppdat-hjälpberäkn'!$F$4:$F$94,'uppdat-hjälpberäkn'!$H$4:$H$94)))</f>
      </c>
      <c r="N18" s="733"/>
      <c r="O18" s="733"/>
      <c r="P18" s="734">
        <f>IF(L18="","",IF($N$11="","",IF(Blad1!AF53="","",SUM(Blad1!AF53))))</f>
      </c>
      <c r="Q18" s="726">
        <f t="shared" si="0"/>
      </c>
      <c r="R18" s="735">
        <f>IF(L18="","",LOOKUP(L18,Blad1!$I$12:$I$22,Blad1!$D$12:$D$22))</f>
      </c>
      <c r="S18" s="736">
        <f t="shared" si="1"/>
      </c>
      <c r="T18" s="736">
        <f t="shared" si="2"/>
      </c>
      <c r="U18" s="736">
        <f t="shared" si="3"/>
      </c>
      <c r="V18" s="730">
        <f>IF(L18="","",IF(L18=$Y$10,((V17*$Q$11)+U18),SUM(V17+U18)))</f>
      </c>
      <c r="W18" s="730">
        <f>IF(L18="","",IF(L18=$Y$10,((W17*$Q$11)+U18),SUM(W17+U18)))</f>
      </c>
      <c r="X18" s="773"/>
      <c r="Y18" s="719"/>
      <c r="Z18" s="775"/>
      <c r="AB18" s="720"/>
    </row>
    <row r="19" spans="1:28" ht="13.5" customHeight="1">
      <c r="A19" s="612">
        <f>IF(F2="","",IF(Blad1!Z51="","",Blad1!Z51))</f>
      </c>
      <c r="B19" s="385"/>
      <c r="C19" s="324">
        <f>IF(A19="","",IF(LOOKUP(A19,'uppdat-hjälpberäkn'!$F$4:$F$94,'uppdat-hjälpberäkn'!$H$4:$H$94)=0,'uppdat-hjälpberäkn'!$H$101,LOOKUP(A19,'uppdat-hjälpberäkn'!$F$4:$F$94,'uppdat-hjälpberäkn'!$H$4:$H$94)))</f>
      </c>
      <c r="D19" s="324">
        <f>IF(F2="","",IF(A19="","",IF(OR(C19=0,B19&lt;C19),SUM(B19*$D$18*Blad1!AB51),SUM(C19*$D$18*Blad1!AB51))))</f>
      </c>
      <c r="E19" s="490">
        <f>IF(F2="","",IF(I13&gt;A21,A21+1,""))</f>
      </c>
      <c r="F19" s="385"/>
      <c r="G19" s="324">
        <f>IF(E19="","",IF(LOOKUP(E19,'uppdat-hjälpberäkn'!$F$4:$F$94,'uppdat-hjälpberäkn'!$H$4:$H$94)=0,'uppdat-hjälpberäkn'!$H$101,LOOKUP(E19,'uppdat-hjälpberäkn'!$F$4:$F$94,'uppdat-hjälpberäkn'!$H$4:$H$94)))</f>
      </c>
      <c r="H19" s="324">
        <f>IF(E19="","",IF(OR(G19=0,F19&lt;G19),SUM(F19*$H$18*Blad1!AB54),SUM(G19*$D$18*Blad1!AB54)))</f>
      </c>
      <c r="I19" s="311"/>
      <c r="J19" s="311"/>
      <c r="K19" s="311"/>
      <c r="L19" s="731">
        <f aca="true" t="shared" si="4" ref="L19:L24">IF(L18="","",IF(L18&lt;$S$11,L18+1,""))</f>
      </c>
      <c r="M19" s="732">
        <f>IF(OR(L19=0,L19=""),"",IF(LOOKUP(L19,'uppdat-hjälpberäkn'!$F$4:$F$94,'uppdat-hjälpberäkn'!$H$4:$H$94)=0,'uppdat-hjälpberäkn'!$H$101,LOOKUP(L19,'uppdat-hjälpberäkn'!$F$4:$F$94,'uppdat-hjälpberäkn'!$H$4:$H$94)))</f>
      </c>
      <c r="N19" s="733"/>
      <c r="O19" s="733"/>
      <c r="P19" s="734">
        <f>IF(L19="","",IF($N$11="","",IF(Blad1!AF54="","",SUM(Blad1!AF54))))</f>
      </c>
      <c r="Q19" s="726">
        <f t="shared" si="0"/>
      </c>
      <c r="R19" s="735">
        <f>IF(L19="","",LOOKUP(L19,Blad1!$I$12:$I$22,Blad1!$D$12:$D$22))</f>
      </c>
      <c r="S19" s="736">
        <f t="shared" si="1"/>
      </c>
      <c r="T19" s="736">
        <f t="shared" si="2"/>
      </c>
      <c r="U19" s="736">
        <f t="shared" si="3"/>
      </c>
      <c r="V19" s="730">
        <f aca="true" t="shared" si="5" ref="V19:V24">IF(L19="","",IF(L19=$Y$10,((V18*$Q$11)+U19),SUM(V18+U19)))</f>
      </c>
      <c r="W19" s="730">
        <f aca="true" t="shared" si="6" ref="W19:W24">IF(L19="","",IF(L19=$Y$10,((W18*$Q$11)+U19),SUM(W18+U19)))</f>
      </c>
      <c r="X19" s="773"/>
      <c r="Y19" s="719"/>
      <c r="Z19" s="775"/>
      <c r="AA19" s="719"/>
      <c r="AB19" s="720"/>
    </row>
    <row r="20" spans="1:28" ht="13.5" customHeight="1">
      <c r="A20" s="488">
        <f>IF($F$2="","",IF(I13=H13,"",H13+1))</f>
      </c>
      <c r="B20" s="385"/>
      <c r="C20" s="324">
        <f>IF(A20="","",IF(LOOKUP(A20,'uppdat-hjälpberäkn'!$F$4:$F$94,'uppdat-hjälpberäkn'!$H$4:$H$94)=0,'uppdat-hjälpberäkn'!$H$101,LOOKUP(A20,'uppdat-hjälpberäkn'!$F$4:$F$94,'uppdat-hjälpberäkn'!$H$4:$H$94)))</f>
      </c>
      <c r="D20" s="324">
        <f>IF(A20="","",IF(OR(C20=0,B20&lt;C20),SUM(B20*$D$18*Blad1!AB52),SUM(C20*$D$18*Blad1!AB52)))</f>
      </c>
      <c r="E20" s="490">
        <f>IF($F$2="","",IF($I$13&gt;E19,E19+1,""))</f>
      </c>
      <c r="F20" s="385"/>
      <c r="G20" s="324">
        <f>IF(E20="","",IF(LOOKUP(E20,'uppdat-hjälpberäkn'!$F$4:$F$94,'uppdat-hjälpberäkn'!$H$4:$H$94)=0,'uppdat-hjälpberäkn'!$H$101,LOOKUP(E20,'uppdat-hjälpberäkn'!$F$4:$F$94,'uppdat-hjälpberäkn'!$H$4:$H$94)))</f>
      </c>
      <c r="H20" s="324">
        <f>IF(E20="","",IF(OR(G20=0,F20&lt;G20),SUM(F20*$H$18*Blad1!AB55),SUM(G20*$D$18*Blad1!AB55)))</f>
      </c>
      <c r="I20" s="311"/>
      <c r="J20" s="311"/>
      <c r="K20" s="311"/>
      <c r="L20" s="731">
        <f t="shared" si="4"/>
      </c>
      <c r="M20" s="732">
        <f>IF(OR(L20=0,L20=""),"",IF(LOOKUP(L20,'uppdat-hjälpberäkn'!$F$4:$F$94,'uppdat-hjälpberäkn'!$H$4:$H$94)=0,'uppdat-hjälpberäkn'!$H$101,LOOKUP(L20,'uppdat-hjälpberäkn'!$F$4:$F$94,'uppdat-hjälpberäkn'!$H$4:$H$94)))</f>
      </c>
      <c r="N20" s="733"/>
      <c r="O20" s="733"/>
      <c r="P20" s="734">
        <f>IF(L20="","",IF($N$11="","",IF(Blad1!AF55="","",SUM(Blad1!AF55))))</f>
      </c>
      <c r="Q20" s="726">
        <f t="shared" si="0"/>
      </c>
      <c r="R20" s="735">
        <f>IF(L20="","",LOOKUP(L20,Blad1!$I$12:$I$22,Blad1!$D$12:$D$22))</f>
      </c>
      <c r="S20" s="736">
        <f t="shared" si="1"/>
      </c>
      <c r="T20" s="736">
        <f t="shared" si="2"/>
      </c>
      <c r="U20" s="736">
        <f t="shared" si="3"/>
      </c>
      <c r="V20" s="730">
        <f t="shared" si="5"/>
      </c>
      <c r="W20" s="730">
        <f t="shared" si="6"/>
      </c>
      <c r="X20" s="773"/>
      <c r="Y20" s="719"/>
      <c r="Z20" s="775"/>
      <c r="AA20" s="719"/>
      <c r="AB20" s="720"/>
    </row>
    <row r="21" spans="1:28" ht="12">
      <c r="A21" s="488">
        <f>IF($F$2="","",IF(I13&gt;A20,A20+1,""))</f>
      </c>
      <c r="B21" s="385"/>
      <c r="C21" s="324">
        <f>IF(A21="","",IF(LOOKUP(A21,'uppdat-hjälpberäkn'!$F$4:$F$94,'uppdat-hjälpberäkn'!$H$4:$H$94)=0,'uppdat-hjälpberäkn'!$H$101,LOOKUP(A21,'uppdat-hjälpberäkn'!$F$4:$F$94,'uppdat-hjälpberäkn'!$H$4:$H$94)))</f>
      </c>
      <c r="D21" s="489">
        <f>IF(A21="","",IF(OR(C21=0,B21&lt;C21),SUM(B21*$D$18*Blad1!AB53),SUM(C21*$D$18*Blad1!AB53)))</f>
      </c>
      <c r="E21" s="490">
        <f>IF($F$2="","",IF($I$13&gt;E20,E20+1,""))</f>
      </c>
      <c r="F21" s="385"/>
      <c r="G21" s="324">
        <f>IF(E21="","",IF(LOOKUP(E21,'uppdat-hjälpberäkn'!$F$4:$F$94,'uppdat-hjälpberäkn'!$H$4:$H$94)=0,'uppdat-hjälpberäkn'!$H$101,LOOKUP(E21,'uppdat-hjälpberäkn'!$F$4:$F$94,'uppdat-hjälpberäkn'!$H$4:$H$94)))</f>
      </c>
      <c r="H21" s="324">
        <f>IF(E21="","",IF(OR(G21=0,F21&lt;G21),SUM(F21*$H$18*Blad1!AB56),SUM(G21*$D$18*Blad1!AB56)))</f>
      </c>
      <c r="I21" s="311"/>
      <c r="J21" s="311"/>
      <c r="K21" s="311"/>
      <c r="L21" s="731">
        <f t="shared" si="4"/>
      </c>
      <c r="M21" s="732">
        <f>IF(OR(L21=0,L21=""),"",IF(LOOKUP(L21,'uppdat-hjälpberäkn'!$F$4:$F$94,'uppdat-hjälpberäkn'!$H$4:$H$94)=0,'uppdat-hjälpberäkn'!$H$101,LOOKUP(L21,'uppdat-hjälpberäkn'!$F$4:$F$94,'uppdat-hjälpberäkn'!$H$4:$H$94)))</f>
      </c>
      <c r="N21" s="733"/>
      <c r="O21" s="733"/>
      <c r="P21" s="734">
        <f>IF(L21="","",IF($N$11="","",IF(Blad1!AF56="","",SUM(Blad1!AF56))))</f>
      </c>
      <c r="Q21" s="726">
        <f t="shared" si="0"/>
      </c>
      <c r="R21" s="735">
        <f>IF(L21="","",LOOKUP(L21,Blad1!$I$12:$I$22,Blad1!$D$12:$D$22))</f>
      </c>
      <c r="S21" s="736">
        <f t="shared" si="1"/>
      </c>
      <c r="T21" s="736">
        <f t="shared" si="2"/>
      </c>
      <c r="U21" s="736">
        <f t="shared" si="3"/>
      </c>
      <c r="V21" s="730">
        <f t="shared" si="5"/>
      </c>
      <c r="W21" s="730">
        <f t="shared" si="6"/>
      </c>
      <c r="X21" s="773"/>
      <c r="Y21" s="719"/>
      <c r="Z21" s="719"/>
      <c r="AA21" s="719"/>
      <c r="AB21" s="719"/>
    </row>
    <row r="22" spans="1:32" ht="12">
      <c r="A22" s="311"/>
      <c r="B22" s="311"/>
      <c r="C22" s="311"/>
      <c r="D22" s="372">
        <f>SUM(D19:D21)</f>
        <v>0</v>
      </c>
      <c r="E22" s="311"/>
      <c r="F22" s="311"/>
      <c r="G22" s="311"/>
      <c r="H22" s="372">
        <f>SUM(H19:H21)</f>
        <v>0</v>
      </c>
      <c r="I22" s="311"/>
      <c r="J22" s="311"/>
      <c r="K22" s="311"/>
      <c r="L22" s="731">
        <f t="shared" si="4"/>
      </c>
      <c r="M22" s="732">
        <f>IF(OR(L22=0,L22=""),"",IF(LOOKUP(L22,'uppdat-hjälpberäkn'!$F$4:$F$94,'uppdat-hjälpberäkn'!$H$4:$H$94)=0,'uppdat-hjälpberäkn'!$H$101,LOOKUP(L22,'uppdat-hjälpberäkn'!$F$4:$F$94,'uppdat-hjälpberäkn'!$H$4:$H$94)))</f>
      </c>
      <c r="N22" s="733"/>
      <c r="O22" s="733"/>
      <c r="P22" s="734">
        <f>IF(L22="","",IF($N$11="","",IF(Blad1!AF57="","",SUM(Blad1!AF57))))</f>
      </c>
      <c r="Q22" s="726">
        <f t="shared" si="0"/>
      </c>
      <c r="R22" s="735">
        <f>IF(L22="","",LOOKUP(L22,Blad1!$I$12:$I$22,Blad1!$D$12:$D$22))</f>
      </c>
      <c r="S22" s="736">
        <f t="shared" si="1"/>
      </c>
      <c r="T22" s="736">
        <f t="shared" si="2"/>
      </c>
      <c r="U22" s="736">
        <f t="shared" si="3"/>
      </c>
      <c r="V22" s="730">
        <f t="shared" si="5"/>
      </c>
      <c r="W22" s="730">
        <f t="shared" si="6"/>
      </c>
      <c r="X22" s="773"/>
      <c r="Y22" s="719"/>
      <c r="AC22" s="660"/>
      <c r="AD22" s="660"/>
      <c r="AE22" s="660"/>
      <c r="AF22" s="721"/>
    </row>
    <row r="23" spans="1:34" ht="12">
      <c r="A23" s="310" t="s">
        <v>31</v>
      </c>
      <c r="B23" s="311"/>
      <c r="C23" s="310" t="s">
        <v>313</v>
      </c>
      <c r="D23" s="311"/>
      <c r="E23" s="311"/>
      <c r="F23" s="311"/>
      <c r="G23" s="311"/>
      <c r="H23" s="311"/>
      <c r="I23" s="311"/>
      <c r="J23" s="311"/>
      <c r="K23" s="311"/>
      <c r="L23" s="731">
        <f t="shared" si="4"/>
      </c>
      <c r="M23" s="732">
        <f>IF(OR(L23=0,L23=""),"",IF(LOOKUP(L23,'uppdat-hjälpberäkn'!$F$4:$F$94,'uppdat-hjälpberäkn'!$H$4:$H$94)=0,'uppdat-hjälpberäkn'!$H$101,LOOKUP(L23,'uppdat-hjälpberäkn'!$F$4:$F$94,'uppdat-hjälpberäkn'!$H$4:$H$94)))</f>
      </c>
      <c r="N23" s="733"/>
      <c r="O23" s="733"/>
      <c r="P23" s="734">
        <f>IF(L23="","",IF($N$11="","",IF(Blad1!AF58="","",SUM(Blad1!AF58))))</f>
      </c>
      <c r="Q23" s="726">
        <f t="shared" si="0"/>
      </c>
      <c r="R23" s="735">
        <f>IF(L23="","",LOOKUP(L23,Blad1!$I$12:$I$22,Blad1!$D$12:$D$22))</f>
      </c>
      <c r="S23" s="736">
        <f t="shared" si="1"/>
      </c>
      <c r="T23" s="736">
        <f t="shared" si="2"/>
      </c>
      <c r="U23" s="736">
        <f t="shared" si="3"/>
      </c>
      <c r="V23" s="730">
        <f t="shared" si="5"/>
      </c>
      <c r="W23" s="730">
        <f t="shared" si="6"/>
      </c>
      <c r="X23" s="773"/>
      <c r="Y23" s="719"/>
      <c r="Z23" s="661"/>
      <c r="AA23" s="719"/>
      <c r="AB23" s="661"/>
      <c r="AC23" s="661"/>
      <c r="AD23" s="661"/>
      <c r="AE23" s="661"/>
      <c r="AF23" s="722"/>
      <c r="AG23" s="717"/>
      <c r="AH23" s="716"/>
    </row>
    <row r="24" spans="1:34" ht="12.75" thickBot="1">
      <c r="A24" s="311"/>
      <c r="B24" s="311"/>
      <c r="C24" s="311"/>
      <c r="D24" s="311"/>
      <c r="E24" s="311"/>
      <c r="F24" s="311"/>
      <c r="G24" s="311"/>
      <c r="H24" s="311"/>
      <c r="I24" s="311"/>
      <c r="J24" s="311"/>
      <c r="K24" s="311"/>
      <c r="L24" s="731">
        <f t="shared" si="4"/>
      </c>
      <c r="M24" s="732">
        <f>IF(OR(L24=0,L24=""),"",IF(LOOKUP(L24,'uppdat-hjälpberäkn'!$F$4:$F$94,'uppdat-hjälpberäkn'!$H$4:$H$94)=0,'uppdat-hjälpberäkn'!$H$101,LOOKUP(L24,'uppdat-hjälpberäkn'!$F$4:$F$94,'uppdat-hjälpberäkn'!$H$4:$H$94)))</f>
      </c>
      <c r="N24" s="733"/>
      <c r="O24" s="733"/>
      <c r="P24" s="734">
        <f>IF(L24="","",IF($N$11="","",IF(Blad1!AF59="","",SUM(Blad1!AF59))))</f>
      </c>
      <c r="Q24" s="726">
        <f t="shared" si="0"/>
      </c>
      <c r="R24" s="735">
        <f>IF(L24="","",LOOKUP(L24,Blad1!$I$12:$I$22,Blad1!$D$12:$D$22))</f>
      </c>
      <c r="S24" s="736">
        <f t="shared" si="1"/>
      </c>
      <c r="T24" s="736">
        <f t="shared" si="2"/>
      </c>
      <c r="U24" s="736">
        <f t="shared" si="3"/>
      </c>
      <c r="V24" s="730">
        <f t="shared" si="5"/>
      </c>
      <c r="W24" s="730">
        <f t="shared" si="6"/>
      </c>
      <c r="X24" s="773"/>
      <c r="Y24" s="719"/>
      <c r="Z24" s="661"/>
      <c r="AA24" s="719"/>
      <c r="AB24" s="661"/>
      <c r="AC24" s="660"/>
      <c r="AD24" s="660"/>
      <c r="AE24" s="660"/>
      <c r="AF24" s="721"/>
      <c r="AH24" s="715"/>
    </row>
    <row r="25" spans="1:34" ht="12.75" thickBot="1">
      <c r="A25" s="312" t="s">
        <v>319</v>
      </c>
      <c r="B25" s="312" t="s">
        <v>320</v>
      </c>
      <c r="C25" s="332">
        <f>SUM(C12)</f>
        <v>0</v>
      </c>
      <c r="D25" s="314"/>
      <c r="E25" s="314"/>
      <c r="F25" s="321" t="s">
        <v>316</v>
      </c>
      <c r="G25" s="311"/>
      <c r="H25" s="311"/>
      <c r="I25" s="311"/>
      <c r="J25" s="311"/>
      <c r="K25" s="311"/>
      <c r="L25" s="317"/>
      <c r="M25" s="317"/>
      <c r="N25" s="317"/>
      <c r="O25" s="317"/>
      <c r="P25" s="737">
        <f>SUM(P16:P24)</f>
        <v>0</v>
      </c>
      <c r="Q25" s="675"/>
      <c r="R25" s="738" t="s">
        <v>419</v>
      </c>
      <c r="S25" s="725">
        <f>SUM(S16:S24)</f>
        <v>0</v>
      </c>
      <c r="T25" s="725">
        <f>SUM(T16:T24)</f>
        <v>0</v>
      </c>
      <c r="U25" s="739"/>
      <c r="V25" s="740">
        <f>SUM(V16:V24)</f>
        <v>0</v>
      </c>
      <c r="W25" s="740">
        <f>SUM(W16:W24)</f>
        <v>0</v>
      </c>
      <c r="X25" s="771"/>
      <c r="Z25" s="661"/>
      <c r="AA25" s="719"/>
      <c r="AB25" s="660"/>
      <c r="AC25" s="660"/>
      <c r="AD25" s="660"/>
      <c r="AE25" s="660"/>
      <c r="AF25" s="721"/>
      <c r="AH25" s="715"/>
    </row>
    <row r="26" spans="1:34" ht="12">
      <c r="A26" s="324">
        <f>IF(F2="",0,FAKTA!Q35)</f>
        <v>0</v>
      </c>
      <c r="B26" s="333">
        <f>IF(H2="","",B13)</f>
      </c>
      <c r="C26" s="326">
        <f>IF(F2="",0,A26/B26)</f>
        <v>0</v>
      </c>
      <c r="D26" s="311"/>
      <c r="E26" s="311"/>
      <c r="F26" s="611">
        <f>SUM('uppdat-hjälpberäkn'!N1)</f>
        <v>0</v>
      </c>
      <c r="G26" s="312"/>
      <c r="H26" s="311"/>
      <c r="I26" s="311"/>
      <c r="J26" s="311"/>
      <c r="K26" s="311"/>
      <c r="L26" s="317"/>
      <c r="M26" s="317"/>
      <c r="N26" s="317"/>
      <c r="O26" s="834" t="s">
        <v>564</v>
      </c>
      <c r="P26" s="835"/>
      <c r="Q26" s="835"/>
      <c r="R26" s="741">
        <f>SUM(F2)</f>
        <v>0</v>
      </c>
      <c r="S26" s="726">
        <f>IF(N11="","",I18)</f>
      </c>
      <c r="T26" s="726">
        <f>IF(N11="","",I31)</f>
      </c>
      <c r="U26" s="742"/>
      <c r="V26" s="743"/>
      <c r="W26" s="743"/>
      <c r="X26" s="714"/>
      <c r="Z26" s="661"/>
      <c r="AA26" s="719"/>
      <c r="AB26" s="661"/>
      <c r="AC26" s="661"/>
      <c r="AD26" s="661"/>
      <c r="AE26" s="661"/>
      <c r="AF26" s="722"/>
      <c r="AG26" s="717"/>
      <c r="AH26" s="716"/>
    </row>
    <row r="27" spans="1:34" ht="12">
      <c r="A27" s="311"/>
      <c r="B27" s="311"/>
      <c r="C27" s="311"/>
      <c r="D27" s="311"/>
      <c r="E27" s="311"/>
      <c r="F27" s="372">
        <f>SUM(C26+D29)</f>
        <v>0</v>
      </c>
      <c r="G27" s="370"/>
      <c r="H27" s="311"/>
      <c r="I27" s="311"/>
      <c r="J27" s="311"/>
      <c r="K27" s="311"/>
      <c r="L27" s="317"/>
      <c r="M27" s="317"/>
      <c r="N27" s="317"/>
      <c r="O27" s="317"/>
      <c r="P27" s="321"/>
      <c r="Q27" s="317"/>
      <c r="R27" s="317" t="s">
        <v>419</v>
      </c>
      <c r="S27" s="744">
        <f>IF(N11="","",SUM(S25+S26))</f>
      </c>
      <c r="T27" s="744">
        <f>IF(N11="","",SUM(T25+T26))</f>
      </c>
      <c r="U27" s="745"/>
      <c r="V27" s="743"/>
      <c r="W27" s="743"/>
      <c r="X27" s="668"/>
      <c r="Z27" s="661"/>
      <c r="AA27" s="719"/>
      <c r="AB27" s="660"/>
      <c r="AC27" s="660"/>
      <c r="AD27" s="660"/>
      <c r="AE27" s="660"/>
      <c r="AF27" s="721"/>
      <c r="AH27" s="715"/>
    </row>
    <row r="28" spans="1:34" ht="12">
      <c r="A28" s="609">
        <f>SUM('uppdat-hjälpberäkn'!N1)</f>
        <v>0</v>
      </c>
      <c r="B28" s="321" t="s">
        <v>347</v>
      </c>
      <c r="C28" s="610">
        <f>SUM('uppdat-hjälpberäkn'!N1)</f>
        <v>0</v>
      </c>
      <c r="D28" s="486">
        <f>IF(F2="","",ROUND(18.5%/B13,4))</f>
      </c>
      <c r="E28" s="311"/>
      <c r="F28" s="311"/>
      <c r="G28" s="311"/>
      <c r="H28" s="311"/>
      <c r="I28" s="311"/>
      <c r="J28" s="311"/>
      <c r="K28" s="311"/>
      <c r="L28" s="317"/>
      <c r="M28" s="317"/>
      <c r="N28" s="765"/>
      <c r="O28" s="317"/>
      <c r="P28" s="321"/>
      <c r="Q28" s="317"/>
      <c r="R28" s="317"/>
      <c r="S28" s="847" t="s">
        <v>63</v>
      </c>
      <c r="T28" s="848"/>
      <c r="U28" s="743"/>
      <c r="V28" s="832" t="s">
        <v>558</v>
      </c>
      <c r="W28" s="833"/>
      <c r="X28" s="386"/>
      <c r="Z28" s="719"/>
      <c r="AA28" s="719"/>
      <c r="AB28" s="660"/>
      <c r="AC28" s="660"/>
      <c r="AD28" s="660"/>
      <c r="AE28" s="660"/>
      <c r="AF28" s="721"/>
      <c r="AH28" s="715"/>
    </row>
    <row r="29" spans="1:34" ht="12">
      <c r="A29" s="369">
        <f>IF(F2="","",IF('uppdat-hjälpberäkn'!N21&lt;=0,0,SUM('uppdat-hjälpberäkn'!N21)))</f>
      </c>
      <c r="B29" s="324">
        <f>IF(F2="",0,SUM(FAKTA!Q37))</f>
        <v>0</v>
      </c>
      <c r="C29" s="324">
        <f>IF(A29="",0,SUM(B29*A29))</f>
        <v>0</v>
      </c>
      <c r="D29" s="326">
        <f>IF(F2="",0,C29*D28)</f>
        <v>0</v>
      </c>
      <c r="E29" s="311"/>
      <c r="F29" s="311"/>
      <c r="G29" s="311"/>
      <c r="H29" s="826" t="s">
        <v>500</v>
      </c>
      <c r="I29" s="820"/>
      <c r="J29" s="311"/>
      <c r="K29" s="311"/>
      <c r="L29" s="317"/>
      <c r="M29" s="317"/>
      <c r="N29" s="317"/>
      <c r="O29" s="317"/>
      <c r="P29" s="169"/>
      <c r="Q29" s="317"/>
      <c r="R29" s="746" t="s">
        <v>547</v>
      </c>
      <c r="S29" s="744">
        <f>SUM('ink.pens.tillägg'!I20)</f>
        <v>0</v>
      </c>
      <c r="T29" s="744">
        <f>SUM('ink.pens.tillägg'!I24)</f>
        <v>0</v>
      </c>
      <c r="U29" s="743"/>
      <c r="V29" s="824" t="s">
        <v>559</v>
      </c>
      <c r="W29" s="825"/>
      <c r="AB29" s="660"/>
      <c r="AC29" s="660"/>
      <c r="AD29" s="660"/>
      <c r="AE29" s="660"/>
      <c r="AF29" s="721"/>
      <c r="AH29" s="715"/>
    </row>
    <row r="30" spans="1:34" ht="12.75" thickBot="1">
      <c r="A30" s="311"/>
      <c r="B30" s="331" t="s">
        <v>350</v>
      </c>
      <c r="C30" s="311"/>
      <c r="D30" s="311"/>
      <c r="E30" s="311"/>
      <c r="F30" s="331" t="s">
        <v>350</v>
      </c>
      <c r="G30" s="311"/>
      <c r="H30" s="826" t="s">
        <v>501</v>
      </c>
      <c r="I30" s="820"/>
      <c r="J30" s="311"/>
      <c r="K30" s="311"/>
      <c r="L30" s="317"/>
      <c r="M30" s="317"/>
      <c r="N30" s="747"/>
      <c r="O30" s="747"/>
      <c r="P30" s="321"/>
      <c r="Q30" s="317"/>
      <c r="R30" s="748" t="s">
        <v>548</v>
      </c>
      <c r="S30" s="726">
        <f>IF(N11="","",SUM(S27+S29))</f>
      </c>
      <c r="T30" s="744">
        <f>IF(N11="","",SUM(T27+T29))</f>
      </c>
      <c r="U30" s="743"/>
      <c r="V30" s="743"/>
      <c r="W30" s="743"/>
      <c r="X30" s="714"/>
      <c r="AB30" s="661"/>
      <c r="AC30" s="661"/>
      <c r="AD30" s="661"/>
      <c r="AE30" s="661"/>
      <c r="AF30" s="722"/>
      <c r="AG30" s="717"/>
      <c r="AH30" s="716"/>
    </row>
    <row r="31" spans="1:34" ht="12.75" thickBot="1">
      <c r="A31" s="487" t="s">
        <v>92</v>
      </c>
      <c r="B31" s="321" t="s">
        <v>279</v>
      </c>
      <c r="C31" s="321" t="s">
        <v>407</v>
      </c>
      <c r="D31" s="486">
        <f>IF(F2="","",ROUND(18.5%*0.93/B13,4))</f>
      </c>
      <c r="E31" s="487" t="s">
        <v>92</v>
      </c>
      <c r="F31" s="321" t="s">
        <v>279</v>
      </c>
      <c r="G31" s="321" t="s">
        <v>407</v>
      </c>
      <c r="H31" s="486">
        <f>IF(F2="","",ROUND(18.5%*0.93/B13,4))</f>
      </c>
      <c r="I31" s="330">
        <f>SUM(F27+D35+H35)</f>
        <v>0</v>
      </c>
      <c r="J31" s="311"/>
      <c r="K31" s="311"/>
      <c r="L31" s="317"/>
      <c r="M31" s="747"/>
      <c r="N31" s="317"/>
      <c r="O31" s="317"/>
      <c r="P31" s="321"/>
      <c r="Q31" s="317"/>
      <c r="R31" s="748" t="s">
        <v>557</v>
      </c>
      <c r="S31" s="726">
        <f>IF(S30="","",IF(S30&lt;1.26*C45,(2.43*C45)-S30,MAX(0,IF(S30&gt;1.26*C45,MAX(1.17*C45-0.48*(S30-1.26*C45)),0))))</f>
      </c>
      <c r="T31" s="744">
        <f>IF(T30="","",IF(T30&lt;1.26*C45,(2.43*C45)-T30,MAX(0,IF(C40&gt;1.26*C45,MAX(1.17*C45-0.48*(T30-1.26*C45)),0))))</f>
      </c>
      <c r="U31" s="743"/>
      <c r="V31" s="743"/>
      <c r="W31" s="743"/>
      <c r="X31" s="386"/>
      <c r="AB31" s="660"/>
      <c r="AC31" s="660"/>
      <c r="AD31" s="660"/>
      <c r="AE31" s="660"/>
      <c r="AF31" s="721"/>
      <c r="AH31" s="715"/>
    </row>
    <row r="32" spans="1:34" ht="12">
      <c r="A32" s="612">
        <f>IF(F2="","",IF(Blad1!AD51="","",Blad1!AD51))</f>
      </c>
      <c r="B32" s="385"/>
      <c r="C32" s="324">
        <f>IF(A32="","",IF(LOOKUP(A32,'uppdat-hjälpberäkn'!$F$4:$F$94,'uppdat-hjälpberäkn'!$H$4:$H$94)=0,'uppdat-hjälpberäkn'!$H$101,LOOKUP(A32,'uppdat-hjälpberäkn'!$F$4:$F$94,'uppdat-hjälpberäkn'!$H$4:$H$94)))</f>
      </c>
      <c r="D32" s="324">
        <f>IF(F2="","",IF(A32="","",IF(OR(C32=0,B32&lt;C32),SUM(B32*$D$31*Blad1!AB51),SUM(C32*$D$31*Blad1!AB51))))</f>
      </c>
      <c r="E32" s="490">
        <f>IF($F$2="","",E19)</f>
      </c>
      <c r="F32" s="385"/>
      <c r="G32" s="324">
        <f>IF(E32="","",IF(LOOKUP(E32,'uppdat-hjälpberäkn'!$F$4:$F$94,'uppdat-hjälpberäkn'!$H$4:$H$94)=0,'uppdat-hjälpberäkn'!$H$101,LOOKUP(E32,'uppdat-hjälpberäkn'!$F$4:$F$94,'uppdat-hjälpberäkn'!$H$4:$H$94)))</f>
      </c>
      <c r="H32" s="324">
        <f>IF(E32="","",IF(OR(G32=0,F32&lt;G32),SUM(F32*$H$31*Blad1!AB54),SUM(G32*$H$31*Blad1!AB54)))</f>
      </c>
      <c r="I32" s="311"/>
      <c r="J32" s="311"/>
      <c r="K32" s="311"/>
      <c r="L32" s="317"/>
      <c r="M32" s="317"/>
      <c r="N32" s="317"/>
      <c r="O32" s="317"/>
      <c r="P32" s="169"/>
      <c r="Q32" s="317"/>
      <c r="R32" s="748" t="s">
        <v>419</v>
      </c>
      <c r="S32" s="744">
        <f>SUM(S30:S31)</f>
        <v>0</v>
      </c>
      <c r="T32" s="730">
        <f>SUM(T30:T31)</f>
        <v>0</v>
      </c>
      <c r="U32" s="743"/>
      <c r="V32" s="743"/>
      <c r="W32" s="743"/>
      <c r="X32" s="386"/>
      <c r="AB32" s="660"/>
      <c r="AC32" s="660"/>
      <c r="AD32" s="660"/>
      <c r="AE32" s="660"/>
      <c r="AF32" s="721"/>
      <c r="AH32" s="715"/>
    </row>
    <row r="33" spans="1:34" ht="12.75" thickBot="1">
      <c r="A33" s="488">
        <f>IF($F$2="","",A20)</f>
      </c>
      <c r="B33" s="385"/>
      <c r="C33" s="324">
        <f>IF(A33="","",IF(LOOKUP(A33,'uppdat-hjälpberäkn'!$F$4:$F$94,'uppdat-hjälpberäkn'!$H$4:$H$94)=0,'uppdat-hjälpberäkn'!$H$101,LOOKUP(A33,'uppdat-hjälpberäkn'!$F$4:$F$94,'uppdat-hjälpberäkn'!$H$4:$H$94)))</f>
      </c>
      <c r="D33" s="324">
        <f>IF(A33="","",IF(OR(C33=0,B33&lt;C33),SUM(B33*$D$31*Blad1!AB52),SUM(C33*$D$31*Blad1!AB52)))</f>
      </c>
      <c r="E33" s="490">
        <f>IF($F$2="","",E20)</f>
      </c>
      <c r="F33" s="385"/>
      <c r="G33" s="324">
        <f>IF(E33="","",IF(LOOKUP(E33,'uppdat-hjälpberäkn'!$F$4:$F$94,'uppdat-hjälpberäkn'!$H$4:$H$94)=0,'uppdat-hjälpberäkn'!$H$101,LOOKUP(E33,'uppdat-hjälpberäkn'!$F$4:$F$94,'uppdat-hjälpberäkn'!$H$4:$H$94)))</f>
      </c>
      <c r="H33" s="324">
        <f>IF(E33="","",IF(OR(G33=0,F33&lt;G33),SUM(F33*$H$31*Blad1!AB55),SUM(G33*$H$31*Blad1!AB55)))</f>
      </c>
      <c r="I33" s="311"/>
      <c r="J33" s="311"/>
      <c r="K33" s="311"/>
      <c r="L33" s="317"/>
      <c r="M33" s="317"/>
      <c r="N33" s="317"/>
      <c r="O33" s="317"/>
      <c r="P33" s="321"/>
      <c r="Q33" s="317"/>
      <c r="R33" s="317"/>
      <c r="S33" s="317"/>
      <c r="T33" s="743"/>
      <c r="U33" s="743"/>
      <c r="V33" s="743"/>
      <c r="W33" s="743"/>
      <c r="X33" s="714"/>
      <c r="AB33" s="661"/>
      <c r="AC33" s="661"/>
      <c r="AD33" s="661"/>
      <c r="AE33" s="661"/>
      <c r="AF33" s="722"/>
      <c r="AG33" s="717"/>
      <c r="AH33" s="716"/>
    </row>
    <row r="34" spans="1:32" ht="12.75" thickBot="1">
      <c r="A34" s="488">
        <f>IF($F$2="","",A21)</f>
      </c>
      <c r="B34" s="385"/>
      <c r="C34" s="324">
        <f>IF(A34="","",IF(LOOKUP(A34,'uppdat-hjälpberäkn'!$F$4:$F$94,'uppdat-hjälpberäkn'!$H$4:$H$94)=0,'uppdat-hjälpberäkn'!$H$101,LOOKUP(A34,'uppdat-hjälpberäkn'!$F$4:$F$94,'uppdat-hjälpberäkn'!$H$4:$H$94)))</f>
      </c>
      <c r="D34" s="324">
        <f>IF(A34="","",IF(OR(C34=0,B34&lt;C34),SUM(B34*$D$31*Blad1!AB53),SUM(C34*$D$31*Blad1!AB53)))</f>
      </c>
      <c r="E34" s="490">
        <f>IF($F$2="","",E21)</f>
      </c>
      <c r="F34" s="385"/>
      <c r="G34" s="324">
        <f>IF(E34="","",IF(LOOKUP(E34,'uppdat-hjälpberäkn'!$F$4:$F$94,'uppdat-hjälpberäkn'!$H$4:$H$94)=0,'uppdat-hjälpberäkn'!$H$101,LOOKUP(E34,'uppdat-hjälpberäkn'!$F$4:$F$94,'uppdat-hjälpberäkn'!$H$4:$H$94)))</f>
      </c>
      <c r="H34" s="324">
        <f>IF(E34="","",IF(OR(G34=0,F34&lt;G34),SUM(F34*$H$31*Blad1!AB56),SUM(G34*$H$31*Blad1!AB56)))</f>
      </c>
      <c r="I34" s="311"/>
      <c r="J34" s="311"/>
      <c r="K34" s="311"/>
      <c r="L34" s="317"/>
      <c r="M34" s="317"/>
      <c r="N34" s="317"/>
      <c r="O34" s="317"/>
      <c r="P34" s="321"/>
      <c r="Q34" s="749" t="s">
        <v>549</v>
      </c>
      <c r="R34" s="750"/>
      <c r="S34" s="849">
        <f>SUM(S32-T32)</f>
        <v>0</v>
      </c>
      <c r="T34" s="850"/>
      <c r="U34" s="743"/>
      <c r="V34" s="743"/>
      <c r="W34" s="743"/>
      <c r="X34" s="386"/>
      <c r="AB34" s="660"/>
      <c r="AC34" s="660"/>
      <c r="AD34" s="660"/>
      <c r="AE34" s="660"/>
      <c r="AF34" s="721"/>
    </row>
    <row r="35" spans="1:24" ht="12">
      <c r="A35" s="311"/>
      <c r="B35" s="311"/>
      <c r="C35" s="311"/>
      <c r="D35" s="372">
        <f>SUM(D32:D34)</f>
        <v>0</v>
      </c>
      <c r="E35" s="311"/>
      <c r="F35" s="311"/>
      <c r="G35" s="311"/>
      <c r="H35" s="372">
        <f>SUM(H32:H34)</f>
        <v>0</v>
      </c>
      <c r="I35" s="311"/>
      <c r="J35" s="311"/>
      <c r="K35" s="311"/>
      <c r="L35" s="317"/>
      <c r="M35" s="317"/>
      <c r="N35" s="317"/>
      <c r="O35" s="317"/>
      <c r="P35" s="321"/>
      <c r="Q35" s="317"/>
      <c r="R35" s="317"/>
      <c r="S35" s="317"/>
      <c r="T35" s="743"/>
      <c r="U35" s="743"/>
      <c r="V35" s="743"/>
      <c r="W35" s="743"/>
      <c r="X35" s="386"/>
    </row>
    <row r="36" spans="1:24" ht="12.75">
      <c r="A36" s="311"/>
      <c r="B36" s="311"/>
      <c r="C36" s="311"/>
      <c r="D36" s="311"/>
      <c r="E36" s="311"/>
      <c r="F36" s="311"/>
      <c r="G36" s="377" t="s">
        <v>5</v>
      </c>
      <c r="H36" s="311"/>
      <c r="I36" s="311"/>
      <c r="J36" s="311"/>
      <c r="K36" s="311"/>
      <c r="L36" s="317"/>
      <c r="M36" s="317"/>
      <c r="N36" s="317"/>
      <c r="O36" s="317"/>
      <c r="P36" s="321"/>
      <c r="Q36" s="317"/>
      <c r="R36" s="317"/>
      <c r="S36" s="851" t="s">
        <v>62</v>
      </c>
      <c r="T36" s="852"/>
      <c r="U36" s="743"/>
      <c r="V36" s="743"/>
      <c r="W36" s="743"/>
      <c r="X36" s="386"/>
    </row>
    <row r="37" spans="1:33" ht="12">
      <c r="A37" s="311"/>
      <c r="B37" s="675" t="s">
        <v>524</v>
      </c>
      <c r="C37" s="311"/>
      <c r="D37" s="311"/>
      <c r="E37" s="311"/>
      <c r="F37" s="311"/>
      <c r="G37" s="311"/>
      <c r="H37" s="571" t="s">
        <v>472</v>
      </c>
      <c r="I37" s="311"/>
      <c r="J37" s="311"/>
      <c r="K37" s="311"/>
      <c r="L37" s="317"/>
      <c r="M37" s="317"/>
      <c r="N37" s="317"/>
      <c r="O37" s="317"/>
      <c r="P37" s="321"/>
      <c r="Q37" s="317"/>
      <c r="R37" s="746" t="s">
        <v>547</v>
      </c>
      <c r="S37" s="744">
        <f>SUM('ink.pens.tillägg'!I20)</f>
        <v>0</v>
      </c>
      <c r="T37" s="744">
        <f>SUM('ink.pens.tillägg'!I24)</f>
        <v>0</v>
      </c>
      <c r="U37" s="743"/>
      <c r="V37" s="743"/>
      <c r="W37" s="743"/>
      <c r="X37" s="386"/>
      <c r="AB37" s="721"/>
      <c r="AC37" s="721"/>
      <c r="AD37" s="721"/>
      <c r="AE37" s="721"/>
      <c r="AF37" s="721"/>
      <c r="AG37" s="721"/>
    </row>
    <row r="38" spans="1:24" ht="15">
      <c r="A38" s="168"/>
      <c r="B38" s="168"/>
      <c r="C38" s="311"/>
      <c r="D38" s="311"/>
      <c r="E38" s="311"/>
      <c r="F38" s="311"/>
      <c r="G38" s="573" t="s">
        <v>473</v>
      </c>
      <c r="H38" s="572" t="s">
        <v>563</v>
      </c>
      <c r="I38" s="311"/>
      <c r="J38" s="311"/>
      <c r="K38" s="311"/>
      <c r="L38" s="317"/>
      <c r="M38" s="317"/>
      <c r="N38" s="317"/>
      <c r="O38" s="317"/>
      <c r="P38" s="321"/>
      <c r="Q38" s="317"/>
      <c r="R38" s="748" t="s">
        <v>548</v>
      </c>
      <c r="S38" s="726">
        <f>IF(N11="","",SUM(S27+S37))</f>
      </c>
      <c r="T38" s="744">
        <f>IF(N11="","",SUM(T27+T37))</f>
      </c>
      <c r="U38" s="743"/>
      <c r="V38" s="743"/>
      <c r="W38" s="743"/>
      <c r="X38" s="723"/>
    </row>
    <row r="39" spans="1:33" ht="12.75" thickBot="1">
      <c r="A39" s="311"/>
      <c r="B39" s="168" t="s">
        <v>16</v>
      </c>
      <c r="C39" s="726">
        <f>SUM(I18+'ink.pens.tillägg'!I8)</f>
        <v>0</v>
      </c>
      <c r="D39" s="317" t="s">
        <v>528</v>
      </c>
      <c r="E39" s="311"/>
      <c r="F39" s="311"/>
      <c r="G39" s="484" t="s">
        <v>6</v>
      </c>
      <c r="H39" s="572"/>
      <c r="I39" s="314"/>
      <c r="J39" s="311"/>
      <c r="K39" s="311"/>
      <c r="L39" s="317"/>
      <c r="M39" s="317"/>
      <c r="N39" s="317"/>
      <c r="O39" s="317"/>
      <c r="P39" s="321"/>
      <c r="Q39" s="317"/>
      <c r="R39" s="748" t="s">
        <v>15</v>
      </c>
      <c r="S39" s="744">
        <f>IF(S38="","",IF(S38&lt;1.14*C45,(2.2*C45)-S38,MAX(0,IF(S38&gt;1.14*C45,MAX(1.06*C45-0.48*(S38-1.14*C45)),))))</f>
      </c>
      <c r="T39" s="744">
        <f>IF(T38="","",IF(T38&lt;1.14*C45,(2.2*C45)-T38,MAX(0,IF(T38&gt;1.14*C45,MAX(1.06*C45-0.48*(T38-1.14*C45)),))))</f>
      </c>
      <c r="U39" s="743"/>
      <c r="V39" s="743"/>
      <c r="W39" s="743"/>
      <c r="X39" s="386"/>
      <c r="AB39" s="720"/>
      <c r="AC39" s="720"/>
      <c r="AD39" s="720"/>
      <c r="AE39" s="720"/>
      <c r="AF39" s="719"/>
      <c r="AG39" s="719"/>
    </row>
    <row r="40" spans="1:31" ht="12.75" thickBot="1">
      <c r="A40" s="311"/>
      <c r="B40" s="168" t="s">
        <v>17</v>
      </c>
      <c r="C40" s="726">
        <f>SUM(I31+'ink.pens.tillägg'!I12)</f>
        <v>0</v>
      </c>
      <c r="D40" s="317" t="s">
        <v>528</v>
      </c>
      <c r="E40" s="311"/>
      <c r="F40" s="762" t="s">
        <v>312</v>
      </c>
      <c r="G40" s="764">
        <f>IF(C39=0,0,IF(C39&lt;1.26*C45,(2.43*C45)-C39,MAX(0,IF(C39&gt;1.26*C45,MAX(1.17*C45-0.48*(C39-1.26*C45)),0))))</f>
        <v>0</v>
      </c>
      <c r="H40" s="324">
        <f>IF(F2="",0,IF(C39&lt;1.26*C45,2.43*C45,SUM(G40+C39)))</f>
        <v>0</v>
      </c>
      <c r="I40" s="314"/>
      <c r="J40" s="311"/>
      <c r="K40" s="311"/>
      <c r="L40" s="317"/>
      <c r="M40" s="317"/>
      <c r="N40" s="317"/>
      <c r="O40" s="317"/>
      <c r="P40" s="321"/>
      <c r="Q40" s="317"/>
      <c r="R40" s="748" t="s">
        <v>419</v>
      </c>
      <c r="S40" s="744">
        <f>SUM(S38:S39)</f>
        <v>0</v>
      </c>
      <c r="T40" s="730">
        <f>SUM(T38:T39)</f>
        <v>0</v>
      </c>
      <c r="U40" s="743"/>
      <c r="V40" s="743"/>
      <c r="W40" s="743"/>
      <c r="X40" s="386"/>
      <c r="AB40" s="721"/>
      <c r="AC40" s="721"/>
      <c r="AD40" s="721"/>
      <c r="AE40" s="721"/>
    </row>
    <row r="41" spans="1:24" ht="12.75" thickBot="1">
      <c r="A41" s="311"/>
      <c r="B41" s="311"/>
      <c r="C41" s="311"/>
      <c r="D41" s="311"/>
      <c r="E41" s="311"/>
      <c r="F41" s="762" t="s">
        <v>31</v>
      </c>
      <c r="G41" s="764">
        <f>IF(C40=0,0,IF(C40&lt;1.26*C45,(2.43*C45)-C40,MAX(0,IF(C40&gt;1.26*C45,MAX(1.17*C45-0.48*(C40-1.26*C45)),0))))</f>
        <v>0</v>
      </c>
      <c r="H41" s="324">
        <f>IF(F2="",0,IF(C40&lt;1.26*C45,2.43*C45,SUM(G41+C40)))</f>
        <v>0</v>
      </c>
      <c r="I41" s="766"/>
      <c r="J41" s="311"/>
      <c r="K41" s="311"/>
      <c r="L41" s="317"/>
      <c r="M41" s="317"/>
      <c r="N41" s="317"/>
      <c r="O41" s="317"/>
      <c r="P41" s="321"/>
      <c r="Q41" s="317"/>
      <c r="R41" s="317"/>
      <c r="S41" s="317"/>
      <c r="T41" s="743"/>
      <c r="U41" s="743"/>
      <c r="V41" s="743"/>
      <c r="W41" s="743"/>
      <c r="X41" s="386"/>
    </row>
    <row r="42" spans="1:24" ht="15.75" thickBot="1">
      <c r="A42" s="311"/>
      <c r="B42" s="168" t="s">
        <v>1</v>
      </c>
      <c r="C42" s="682">
        <f>SUM(FAKTA!N7)</f>
        <v>0</v>
      </c>
      <c r="D42" s="311"/>
      <c r="E42" s="311"/>
      <c r="F42" s="371"/>
      <c r="G42" s="763" t="s">
        <v>474</v>
      </c>
      <c r="H42" s="574">
        <f>IF(F2="","",SUM(H40-H41))</f>
      </c>
      <c r="I42" s="767"/>
      <c r="J42" s="311"/>
      <c r="K42" s="311"/>
      <c r="L42" s="317"/>
      <c r="M42" s="317"/>
      <c r="N42" s="317"/>
      <c r="O42" s="317"/>
      <c r="P42" s="321"/>
      <c r="Q42" s="749" t="s">
        <v>550</v>
      </c>
      <c r="R42" s="750"/>
      <c r="S42" s="849">
        <f>SUM(S40-T40)</f>
        <v>0</v>
      </c>
      <c r="T42" s="850"/>
      <c r="U42" s="743"/>
      <c r="V42" s="743"/>
      <c r="W42" s="743"/>
      <c r="X42" s="723"/>
    </row>
    <row r="43" spans="1:31" ht="12">
      <c r="A43" s="311"/>
      <c r="B43" s="168" t="s">
        <v>46</v>
      </c>
      <c r="C43" s="80">
        <f>IF(C42=0,0,LOOKUP(C42,'uppdat-hjälpberäkn'!F4:F94,'uppdat-hjälpberäkn'!I4:I94))</f>
        <v>0</v>
      </c>
      <c r="D43" s="311"/>
      <c r="E43" s="311"/>
      <c r="F43" s="311"/>
      <c r="G43" s="311"/>
      <c r="H43" s="311"/>
      <c r="I43" s="311"/>
      <c r="J43" s="311"/>
      <c r="K43" s="311"/>
      <c r="L43" s="317" t="s">
        <v>517</v>
      </c>
      <c r="M43" s="317"/>
      <c r="N43" s="317"/>
      <c r="O43" s="317"/>
      <c r="P43" s="321"/>
      <c r="Q43" s="317"/>
      <c r="R43" s="317"/>
      <c r="S43" s="317"/>
      <c r="T43" s="743"/>
      <c r="U43" s="743"/>
      <c r="V43" s="743"/>
      <c r="W43" s="743"/>
      <c r="X43" s="386"/>
      <c r="AB43" s="721"/>
      <c r="AC43" s="721"/>
      <c r="AD43" s="721"/>
      <c r="AE43" s="721"/>
    </row>
    <row r="44" spans="1:31" ht="12.75">
      <c r="A44" s="311"/>
      <c r="B44" s="317" t="s">
        <v>525</v>
      </c>
      <c r="C44" s="677">
        <f>IF(FAKTA!J9="",40,FAKTA!J9)</f>
        <v>40</v>
      </c>
      <c r="D44" s="311"/>
      <c r="E44" s="378"/>
      <c r="F44" s="311"/>
      <c r="G44" s="377" t="s">
        <v>7</v>
      </c>
      <c r="H44" s="314"/>
      <c r="I44" s="311"/>
      <c r="J44" s="311"/>
      <c r="K44" s="311"/>
      <c r="L44" s="839"/>
      <c r="M44" s="840"/>
      <c r="N44" s="840"/>
      <c r="O44" s="840"/>
      <c r="P44" s="840"/>
      <c r="Q44" s="840"/>
      <c r="R44" s="840"/>
      <c r="S44" s="840"/>
      <c r="T44" s="841"/>
      <c r="U44" s="743"/>
      <c r="V44" s="317"/>
      <c r="W44" s="743"/>
      <c r="X44" s="386"/>
      <c r="AB44" s="721"/>
      <c r="AC44" s="721"/>
      <c r="AD44" s="721"/>
      <c r="AE44" s="721"/>
    </row>
    <row r="45" spans="1:33" ht="12.75">
      <c r="A45" s="317" t="s">
        <v>526</v>
      </c>
      <c r="B45" s="311"/>
      <c r="C45" s="681">
        <f>SUM(C43*C44/40)</f>
        <v>0</v>
      </c>
      <c r="D45" s="311"/>
      <c r="E45" s="311"/>
      <c r="F45" s="311"/>
      <c r="G45" s="311"/>
      <c r="H45" s="571" t="s">
        <v>472</v>
      </c>
      <c r="I45" s="311"/>
      <c r="J45" s="311"/>
      <c r="K45" s="311"/>
      <c r="L45" s="861"/>
      <c r="M45" s="837"/>
      <c r="N45" s="837"/>
      <c r="O45" s="837"/>
      <c r="P45" s="837"/>
      <c r="Q45" s="837"/>
      <c r="R45" s="837"/>
      <c r="S45" s="837"/>
      <c r="T45" s="838"/>
      <c r="U45" s="743"/>
      <c r="V45" s="317"/>
      <c r="W45" s="743"/>
      <c r="X45"/>
      <c r="Y45"/>
      <c r="Z45"/>
      <c r="AA45"/>
      <c r="AB45"/>
      <c r="AC45"/>
      <c r="AD45"/>
      <c r="AE45"/>
      <c r="AF45"/>
      <c r="AG45"/>
    </row>
    <row r="46" spans="1:33" ht="12.75">
      <c r="A46" s="334"/>
      <c r="B46" s="676"/>
      <c r="C46" s="676"/>
      <c r="D46" s="676"/>
      <c r="E46" s="311"/>
      <c r="F46" s="311"/>
      <c r="G46" s="573" t="s">
        <v>473</v>
      </c>
      <c r="H46" s="572" t="s">
        <v>563</v>
      </c>
      <c r="I46" s="311"/>
      <c r="J46" s="317"/>
      <c r="K46" s="317"/>
      <c r="L46" s="842"/>
      <c r="M46" s="837"/>
      <c r="N46" s="837"/>
      <c r="O46" s="837"/>
      <c r="P46" s="837"/>
      <c r="Q46" s="837"/>
      <c r="R46" s="837"/>
      <c r="S46" s="837"/>
      <c r="T46" s="838"/>
      <c r="U46" s="743"/>
      <c r="V46" s="317"/>
      <c r="W46" s="743"/>
      <c r="X46"/>
      <c r="Y46"/>
      <c r="Z46"/>
      <c r="AA46"/>
      <c r="AB46"/>
      <c r="AC46"/>
      <c r="AD46"/>
      <c r="AE46"/>
      <c r="AF46"/>
      <c r="AG46"/>
    </row>
    <row r="47" spans="1:33" ht="13.5" thickBot="1">
      <c r="A47" s="676"/>
      <c r="B47" s="676"/>
      <c r="C47" s="676"/>
      <c r="D47" s="676"/>
      <c r="E47" s="311"/>
      <c r="F47" s="311"/>
      <c r="G47" s="484" t="s">
        <v>6</v>
      </c>
      <c r="H47" s="572"/>
      <c r="I47" s="311"/>
      <c r="J47" s="311"/>
      <c r="K47" s="311"/>
      <c r="L47" s="842"/>
      <c r="M47" s="837"/>
      <c r="N47" s="837"/>
      <c r="O47" s="837"/>
      <c r="P47" s="837"/>
      <c r="Q47" s="837"/>
      <c r="R47" s="837"/>
      <c r="S47" s="837"/>
      <c r="T47" s="838"/>
      <c r="U47" s="743"/>
      <c r="V47" s="317"/>
      <c r="W47" s="743"/>
      <c r="X47"/>
      <c r="Y47"/>
      <c r="Z47"/>
      <c r="AA47"/>
      <c r="AB47"/>
      <c r="AC47"/>
      <c r="AD47"/>
      <c r="AE47"/>
      <c r="AF47"/>
      <c r="AG47"/>
    </row>
    <row r="48" spans="1:33" ht="13.5" thickBot="1">
      <c r="A48" s="679" t="s">
        <v>321</v>
      </c>
      <c r="B48" s="678" t="s">
        <v>63</v>
      </c>
      <c r="C48" s="676"/>
      <c r="D48" s="678" t="s">
        <v>62</v>
      </c>
      <c r="E48" s="311"/>
      <c r="F48" s="762" t="s">
        <v>312</v>
      </c>
      <c r="G48" s="324">
        <f>IF(C39=0,0,IF(C39&lt;1.14*C45,(2.2*C45)-C39,MAX(0,IF(C39&gt;1.14*C45,MAX(1.06*C45-0.48*(C39-1.14*C45)),))))</f>
        <v>0</v>
      </c>
      <c r="H48" s="324">
        <f>IF(F2="",0,SUM(G48+C39))</f>
        <v>0</v>
      </c>
      <c r="I48" s="767"/>
      <c r="J48" s="311"/>
      <c r="K48" s="311"/>
      <c r="L48" s="836"/>
      <c r="M48" s="837"/>
      <c r="N48" s="837"/>
      <c r="O48" s="837"/>
      <c r="P48" s="837"/>
      <c r="Q48" s="837"/>
      <c r="R48" s="837"/>
      <c r="S48" s="837"/>
      <c r="T48" s="838"/>
      <c r="U48" s="743"/>
      <c r="V48" s="317"/>
      <c r="W48" s="743"/>
      <c r="X48"/>
      <c r="Y48"/>
      <c r="Z48"/>
      <c r="AA48"/>
      <c r="AB48"/>
      <c r="AC48"/>
      <c r="AD48"/>
      <c r="AE48"/>
      <c r="AF48"/>
      <c r="AG48"/>
    </row>
    <row r="49" spans="1:33" ht="13.5" thickBot="1">
      <c r="A49" s="334" t="s">
        <v>15</v>
      </c>
      <c r="B49" s="674">
        <f>IF(C39=0,0,IF(C39&lt;1.26*C45,(2.43*C45)-C39,MAX(0,IF(C39&gt;1.26*C45,MAX(1.17*C45-0.48*(C39-1.26*C45)),0))))</f>
        <v>0</v>
      </c>
      <c r="C49" s="334" t="s">
        <v>15</v>
      </c>
      <c r="D49" s="674">
        <f>IF(C39=0,0,IF(C39&lt;1.14*C45,(2.2*C45)-C39,MAX(0,IF(C39&gt;1.14*C45,MAX(1.06*C45-0.48*(C39-1.14*C45)),))))</f>
        <v>0</v>
      </c>
      <c r="E49" s="311"/>
      <c r="F49" s="762" t="s">
        <v>31</v>
      </c>
      <c r="G49" s="324">
        <f>IF(C40=0,0,IF(C40&lt;1.14*C45,(2.2*C45)-C40,MAX(0,IF(C40&gt;1.14*C45,MAX(1.06*C45-0.48*(C40-1.14*C45)),))))</f>
        <v>0</v>
      </c>
      <c r="H49" s="324">
        <f>IF(F2="",0,SUM(G49+C40))</f>
        <v>0</v>
      </c>
      <c r="I49" s="767"/>
      <c r="J49" s="311"/>
      <c r="K49" s="311"/>
      <c r="L49" s="836"/>
      <c r="M49" s="837"/>
      <c r="N49" s="837"/>
      <c r="O49" s="837"/>
      <c r="P49" s="837"/>
      <c r="Q49" s="837"/>
      <c r="R49" s="837"/>
      <c r="S49" s="837"/>
      <c r="T49" s="838"/>
      <c r="U49" s="743"/>
      <c r="V49" s="317"/>
      <c r="W49" s="743"/>
      <c r="X49"/>
      <c r="Y49"/>
      <c r="Z49"/>
      <c r="AA49"/>
      <c r="AB49"/>
      <c r="AC49"/>
      <c r="AD49"/>
      <c r="AE49"/>
      <c r="AF49"/>
      <c r="AG49"/>
    </row>
    <row r="50" spans="1:33" ht="13.5" thickBot="1">
      <c r="A50" s="676"/>
      <c r="B50" s="676"/>
      <c r="C50" s="676"/>
      <c r="D50" s="676"/>
      <c r="E50" s="311"/>
      <c r="F50" s="371"/>
      <c r="G50" s="763" t="s">
        <v>474</v>
      </c>
      <c r="H50" s="574">
        <f>IF(F2="","",SUM(H48-H49))</f>
      </c>
      <c r="I50" s="767"/>
      <c r="J50" s="311"/>
      <c r="K50" s="311"/>
      <c r="L50" s="836"/>
      <c r="M50" s="837"/>
      <c r="N50" s="837"/>
      <c r="O50" s="837"/>
      <c r="P50" s="837"/>
      <c r="Q50" s="837"/>
      <c r="R50" s="837"/>
      <c r="S50" s="837"/>
      <c r="T50" s="838"/>
      <c r="U50" s="743"/>
      <c r="V50" s="317"/>
      <c r="W50" s="743"/>
      <c r="X50"/>
      <c r="Y50"/>
      <c r="Z50"/>
      <c r="AA50"/>
      <c r="AB50"/>
      <c r="AC50"/>
      <c r="AD50"/>
      <c r="AE50"/>
      <c r="AF50"/>
      <c r="AG50"/>
    </row>
    <row r="51" spans="1:33" ht="12.75">
      <c r="A51" s="680" t="s">
        <v>322</v>
      </c>
      <c r="B51" s="678" t="s">
        <v>63</v>
      </c>
      <c r="C51" s="676"/>
      <c r="D51" s="678" t="s">
        <v>62</v>
      </c>
      <c r="E51" s="311"/>
      <c r="F51" s="311"/>
      <c r="G51" s="311"/>
      <c r="H51" s="311"/>
      <c r="I51" s="311"/>
      <c r="J51" s="311"/>
      <c r="K51" s="311"/>
      <c r="L51" s="836"/>
      <c r="M51" s="837"/>
      <c r="N51" s="837"/>
      <c r="O51" s="837"/>
      <c r="P51" s="837"/>
      <c r="Q51" s="837"/>
      <c r="R51" s="837"/>
      <c r="S51" s="837"/>
      <c r="T51" s="838"/>
      <c r="U51" s="743"/>
      <c r="V51" s="317"/>
      <c r="W51" s="743"/>
      <c r="X51"/>
      <c r="Y51"/>
      <c r="Z51"/>
      <c r="AA51"/>
      <c r="AB51"/>
      <c r="AC51"/>
      <c r="AD51"/>
      <c r="AE51"/>
      <c r="AF51"/>
      <c r="AG51"/>
    </row>
    <row r="52" spans="1:29" ht="12.75">
      <c r="A52" s="334" t="s">
        <v>15</v>
      </c>
      <c r="B52" s="674">
        <f>IF(C40=0,0,IF(C40&lt;1.26*C45,(2.43*C45)-C40,MAX(0,IF(C40&gt;1.26*C45,MAX(1.17*C45-0.48*(C40-1.26*C45)),0))))</f>
        <v>0</v>
      </c>
      <c r="C52" s="334" t="s">
        <v>15</v>
      </c>
      <c r="D52" s="674">
        <f>IF(C40=0,0,IF(C40&lt;1.14*C45,(2.2*C45)-C40,MAX(0,IF(C40&gt;1.14*C45,MAX(1.06*C45-0.48*(C40-1.14*C45)),))))</f>
        <v>0</v>
      </c>
      <c r="E52" s="515" t="s">
        <v>475</v>
      </c>
      <c r="F52" s="311"/>
      <c r="G52" s="311"/>
      <c r="H52" s="317"/>
      <c r="I52" s="516">
        <f>SUM(F2)</f>
        <v>0</v>
      </c>
      <c r="J52" s="311"/>
      <c r="K52" s="311"/>
      <c r="L52" s="836"/>
      <c r="M52" s="837"/>
      <c r="N52" s="837"/>
      <c r="O52" s="837"/>
      <c r="P52" s="837"/>
      <c r="Q52" s="837"/>
      <c r="R52" s="837"/>
      <c r="S52" s="837"/>
      <c r="T52" s="838"/>
      <c r="U52" s="743"/>
      <c r="V52" s="317"/>
      <c r="W52" s="743"/>
      <c r="X52" s="386"/>
      <c r="AC52"/>
    </row>
    <row r="53" spans="1:23" ht="12">
      <c r="A53" s="168"/>
      <c r="B53" s="168"/>
      <c r="C53" s="168"/>
      <c r="D53" s="168"/>
      <c r="E53" s="311"/>
      <c r="F53" s="311"/>
      <c r="G53" s="311"/>
      <c r="H53" s="311"/>
      <c r="I53" s="311"/>
      <c r="J53" s="311"/>
      <c r="K53" s="311"/>
      <c r="L53" s="836"/>
      <c r="M53" s="837"/>
      <c r="N53" s="837"/>
      <c r="O53" s="837"/>
      <c r="P53" s="837"/>
      <c r="Q53" s="837"/>
      <c r="R53" s="837"/>
      <c r="S53" s="837"/>
      <c r="T53" s="838"/>
      <c r="U53" s="743"/>
      <c r="V53" s="317"/>
      <c r="W53" s="743"/>
    </row>
    <row r="54" spans="1:23" ht="12">
      <c r="A54" s="311"/>
      <c r="B54" s="311"/>
      <c r="C54" s="311"/>
      <c r="D54" s="311"/>
      <c r="E54" s="311"/>
      <c r="F54" s="311"/>
      <c r="G54" s="576" t="s">
        <v>5</v>
      </c>
      <c r="H54" s="311"/>
      <c r="I54" s="576" t="s">
        <v>7</v>
      </c>
      <c r="J54" s="311"/>
      <c r="K54" s="311"/>
      <c r="L54" s="858"/>
      <c r="M54" s="859"/>
      <c r="N54" s="859"/>
      <c r="O54" s="859"/>
      <c r="P54" s="859"/>
      <c r="Q54" s="859"/>
      <c r="R54" s="859"/>
      <c r="S54" s="859"/>
      <c r="T54" s="860"/>
      <c r="U54" s="743"/>
      <c r="V54" s="317"/>
      <c r="W54" s="743"/>
    </row>
    <row r="55" spans="1:23" ht="12.75">
      <c r="A55" s="311"/>
      <c r="B55" s="311"/>
      <c r="C55" s="311"/>
      <c r="D55" s="311"/>
      <c r="E55" s="311"/>
      <c r="F55" s="311"/>
      <c r="G55" s="575">
        <f>SUM(H42)</f>
        <v>0</v>
      </c>
      <c r="H55" s="311"/>
      <c r="I55" s="575">
        <f>SUM(H50)</f>
        <v>0</v>
      </c>
      <c r="J55" s="311"/>
      <c r="K55" s="311"/>
      <c r="L55" s="317"/>
      <c r="M55" s="855" t="s">
        <v>560</v>
      </c>
      <c r="N55" s="855"/>
      <c r="O55" s="853">
        <f ca="1">TODAY()</f>
        <v>45345</v>
      </c>
      <c r="P55" s="854"/>
      <c r="Q55" s="317"/>
      <c r="R55" s="317"/>
      <c r="S55" s="317"/>
      <c r="T55" s="317"/>
      <c r="U55" s="743"/>
      <c r="V55" s="317"/>
      <c r="W55" s="743"/>
    </row>
    <row r="56" spans="1:23" ht="12">
      <c r="A56" s="311"/>
      <c r="B56" s="311"/>
      <c r="C56" s="311"/>
      <c r="D56" s="311"/>
      <c r="E56" s="311"/>
      <c r="F56" s="311"/>
      <c r="G56" s="768"/>
      <c r="H56" s="311"/>
      <c r="I56" s="767"/>
      <c r="J56" s="311"/>
      <c r="K56" s="311"/>
      <c r="L56" s="317"/>
      <c r="M56" s="317"/>
      <c r="N56" s="317"/>
      <c r="O56" s="317"/>
      <c r="P56" s="321"/>
      <c r="Q56" s="317"/>
      <c r="R56" s="317"/>
      <c r="S56" s="317"/>
      <c r="T56" s="317"/>
      <c r="U56" s="743"/>
      <c r="V56" s="317"/>
      <c r="W56" s="743"/>
    </row>
    <row r="57" spans="1:23" ht="12">
      <c r="A57" s="311" t="s">
        <v>323</v>
      </c>
      <c r="B57" s="335">
        <f ca="1">TODAY()</f>
        <v>45345</v>
      </c>
      <c r="C57" s="336" t="s">
        <v>324</v>
      </c>
      <c r="D57" s="311" t="s">
        <v>505</v>
      </c>
      <c r="E57" s="311"/>
      <c r="F57" s="311"/>
      <c r="G57" s="311"/>
      <c r="H57" s="336" t="s">
        <v>259</v>
      </c>
      <c r="I57" s="592">
        <f>SUM(FAKTA!C47)</f>
        <v>45292</v>
      </c>
      <c r="J57" s="311"/>
      <c r="K57" s="311"/>
      <c r="L57" s="317"/>
      <c r="M57" s="317"/>
      <c r="N57" s="317"/>
      <c r="O57" s="317"/>
      <c r="P57" s="321"/>
      <c r="Q57" s="317" t="s">
        <v>561</v>
      </c>
      <c r="R57" s="317"/>
      <c r="S57" s="317"/>
      <c r="T57" s="317"/>
      <c r="U57" s="743"/>
      <c r="V57" s="317"/>
      <c r="W57" s="743" t="s">
        <v>569</v>
      </c>
    </row>
    <row r="58" spans="1:11" ht="12">
      <c r="A58" s="386"/>
      <c r="B58" s="386"/>
      <c r="C58" s="386"/>
      <c r="D58" s="386"/>
      <c r="E58" s="386"/>
      <c r="F58" s="386"/>
      <c r="G58" s="386"/>
      <c r="H58" s="386"/>
      <c r="I58" s="386"/>
      <c r="J58" s="386"/>
      <c r="K58" s="386"/>
    </row>
    <row r="59" spans="1:11" ht="12">
      <c r="A59" s="626"/>
      <c r="B59" s="626"/>
      <c r="C59" s="626"/>
      <c r="D59" s="626"/>
      <c r="E59" s="626"/>
      <c r="F59" s="386"/>
      <c r="G59" s="386"/>
      <c r="H59" s="386"/>
      <c r="I59" s="386"/>
      <c r="J59" s="386"/>
      <c r="K59" s="386"/>
    </row>
    <row r="60" spans="10:11" ht="12">
      <c r="J60" s="386"/>
      <c r="K60" s="386"/>
    </row>
    <row r="61" spans="10:11" ht="12">
      <c r="J61" s="386"/>
      <c r="K61" s="386"/>
    </row>
    <row r="62" spans="10:11" ht="12">
      <c r="J62" s="386"/>
      <c r="K62" s="386"/>
    </row>
    <row r="63" spans="10:11" ht="12">
      <c r="J63" s="386"/>
      <c r="K63" s="386"/>
    </row>
    <row r="64" spans="10:11" ht="12">
      <c r="J64" s="386"/>
      <c r="K64" s="386"/>
    </row>
    <row r="65" spans="10:11" ht="12">
      <c r="J65" s="386"/>
      <c r="K65" s="386"/>
    </row>
    <row r="66" spans="10:11" ht="12">
      <c r="J66" s="386"/>
      <c r="K66" s="386"/>
    </row>
    <row r="67" spans="10:11" ht="12">
      <c r="J67" s="386"/>
      <c r="K67" s="386"/>
    </row>
    <row r="68" spans="10:11" ht="12">
      <c r="J68" s="386"/>
      <c r="K68" s="386"/>
    </row>
    <row r="73" spans="1:5" ht="12">
      <c r="A73" s="627"/>
      <c r="B73" s="627"/>
      <c r="C73" s="627"/>
      <c r="D73" s="627"/>
      <c r="E73" s="627"/>
    </row>
    <row r="74" spans="1:5" ht="12">
      <c r="A74" s="627"/>
      <c r="B74" s="627"/>
      <c r="C74" s="627"/>
      <c r="D74" s="627"/>
      <c r="E74" s="627"/>
    </row>
    <row r="75" spans="1:5" ht="12">
      <c r="A75" s="627"/>
      <c r="B75" s="627"/>
      <c r="C75" s="627"/>
      <c r="D75" s="627"/>
      <c r="E75" s="627"/>
    </row>
  </sheetData>
  <sheetProtection password="C248" sheet="1"/>
  <mergeCells count="32">
    <mergeCell ref="O55:P55"/>
    <mergeCell ref="M55:N55"/>
    <mergeCell ref="L11:M11"/>
    <mergeCell ref="L53:T53"/>
    <mergeCell ref="L54:T54"/>
    <mergeCell ref="L49:T49"/>
    <mergeCell ref="L50:T50"/>
    <mergeCell ref="L51:T51"/>
    <mergeCell ref="L52:T52"/>
    <mergeCell ref="L45:T45"/>
    <mergeCell ref="L46:T46"/>
    <mergeCell ref="S28:T28"/>
    <mergeCell ref="H29:I29"/>
    <mergeCell ref="S34:T34"/>
    <mergeCell ref="S42:T42"/>
    <mergeCell ref="S36:T36"/>
    <mergeCell ref="L48:T48"/>
    <mergeCell ref="L44:T44"/>
    <mergeCell ref="L47:T47"/>
    <mergeCell ref="G4:H4"/>
    <mergeCell ref="L4:O4"/>
    <mergeCell ref="L6:O6"/>
    <mergeCell ref="H30:I30"/>
    <mergeCell ref="H16:I16"/>
    <mergeCell ref="O11:P11"/>
    <mergeCell ref="O10:P10"/>
    <mergeCell ref="V29:W29"/>
    <mergeCell ref="H15:I15"/>
    <mergeCell ref="L8:O8"/>
    <mergeCell ref="G5:H5"/>
    <mergeCell ref="V28:W28"/>
    <mergeCell ref="O26:Q26"/>
  </mergeCells>
  <conditionalFormatting sqref="B32:B34 F32:F34 B19:B21 F19:F21">
    <cfRule type="expression" priority="1" dxfId="5" stopIfTrue="1">
      <formula>A19=""</formula>
    </cfRule>
  </conditionalFormatting>
  <printOptions gridLines="1"/>
  <pageMargins left="0.7480314960629921" right="0" top="0.984251968503937" bottom="0.984251968503937" header="0.1968503937007874"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A1:S70"/>
  <sheetViews>
    <sheetView zoomScale="161" zoomScaleNormal="161" zoomScalePageLayoutView="0" workbookViewId="0" topLeftCell="A1">
      <selection activeCell="G1" sqref="G1"/>
    </sheetView>
  </sheetViews>
  <sheetFormatPr defaultColWidth="8.421875" defaultRowHeight="12.75"/>
  <cols>
    <col min="1" max="1" width="0.9921875" style="262" customWidth="1"/>
    <col min="2" max="2" width="6.8515625" style="262" customWidth="1"/>
    <col min="3" max="3" width="8.421875" style="262" customWidth="1"/>
    <col min="4" max="4" width="9.8515625" style="262" customWidth="1"/>
    <col min="5" max="5" width="7.00390625" style="262" customWidth="1"/>
    <col min="6" max="6" width="6.421875" style="262" customWidth="1"/>
    <col min="7" max="8" width="9.421875" style="262" customWidth="1"/>
    <col min="9" max="9" width="7.140625" style="262" customWidth="1"/>
    <col min="10" max="10" width="8.140625" style="366" customWidth="1"/>
    <col min="11" max="11" width="2.8515625" style="366" customWidth="1"/>
    <col min="12" max="12" width="1.57421875" style="366" customWidth="1"/>
    <col min="13" max="13" width="9.57421875" style="366" hidden="1" customWidth="1"/>
    <col min="14" max="17" width="8.421875" style="262" hidden="1" customWidth="1"/>
    <col min="18" max="16384" width="8.421875" style="262" customWidth="1"/>
  </cols>
  <sheetData>
    <row r="1" spans="1:13" ht="12">
      <c r="A1" s="337"/>
      <c r="B1" s="338" t="s">
        <v>506</v>
      </c>
      <c r="C1" s="338"/>
      <c r="D1" s="338"/>
      <c r="E1" s="338"/>
      <c r="F1" s="338"/>
      <c r="G1" s="338"/>
      <c r="H1" s="338" t="s">
        <v>507</v>
      </c>
      <c r="I1" s="337"/>
      <c r="J1" s="337"/>
      <c r="K1" s="337"/>
      <c r="L1" s="337"/>
      <c r="M1" s="339"/>
    </row>
    <row r="2" spans="1:13" ht="12">
      <c r="A2" s="337"/>
      <c r="B2" s="337"/>
      <c r="C2" s="337"/>
      <c r="D2" s="337"/>
      <c r="E2" s="337"/>
      <c r="F2" s="340">
        <f>IF(FAKTA!K5="","",IF('uppdat-hjälpberäkn'!M2&lt;1961,"Skriv in pensionsålder 66, 67, 68, 69, 70, 71,72,73,74 eller 75","Skriv in pensionsålder  68, 69, 70, 71, 72, 73, 74 eller 75"))</f>
      </c>
      <c r="G2" s="340"/>
      <c r="H2" s="345"/>
      <c r="I2" s="337"/>
      <c r="J2" s="337"/>
      <c r="K2" s="337"/>
      <c r="L2" s="337"/>
      <c r="M2" s="339"/>
    </row>
    <row r="3" spans="1:13" ht="12">
      <c r="A3" s="337"/>
      <c r="B3" s="337" t="s">
        <v>78</v>
      </c>
      <c r="C3" s="337"/>
      <c r="D3" s="337"/>
      <c r="E3" s="337"/>
      <c r="F3" s="337"/>
      <c r="G3" s="341" t="s">
        <v>325</v>
      </c>
      <c r="H3" s="337"/>
      <c r="I3" s="341" t="s">
        <v>326</v>
      </c>
      <c r="J3" s="337"/>
      <c r="K3" s="337"/>
      <c r="L3" s="337"/>
      <c r="M3" s="339"/>
    </row>
    <row r="4" spans="1:13" ht="12">
      <c r="A4" s="337"/>
      <c r="B4" s="862">
        <f>LEFT(FAKTA!D3,40)</f>
      </c>
      <c r="C4" s="863"/>
      <c r="D4" s="863"/>
      <c r="E4" s="871"/>
      <c r="F4" s="337"/>
      <c r="G4" s="342">
        <f>IF(FAKTA!K5="","",SUM(FAKTA!K5))</f>
      </c>
      <c r="H4" s="337"/>
      <c r="I4" s="343"/>
      <c r="J4" s="337"/>
      <c r="K4" s="521"/>
      <c r="L4" s="337"/>
      <c r="M4" s="339"/>
    </row>
    <row r="5" spans="1:13" ht="12">
      <c r="A5" s="337"/>
      <c r="B5" s="337" t="s">
        <v>0</v>
      </c>
      <c r="C5" s="344"/>
      <c r="D5" s="337"/>
      <c r="E5" s="337"/>
      <c r="F5" s="337"/>
      <c r="G5" s="388"/>
      <c r="H5" s="346"/>
      <c r="I5" s="345"/>
      <c r="J5" s="341" t="s">
        <v>425</v>
      </c>
      <c r="K5" s="337"/>
      <c r="L5" s="337"/>
      <c r="M5" s="339"/>
    </row>
    <row r="6" spans="1:13" ht="12">
      <c r="A6" s="337"/>
      <c r="B6" s="862">
        <f>LEFT(FAKTA!D5,40)</f>
      </c>
      <c r="C6" s="863"/>
      <c r="D6" s="863"/>
      <c r="E6" s="871"/>
      <c r="F6" s="337"/>
      <c r="G6" s="619" t="s">
        <v>326</v>
      </c>
      <c r="H6" s="620"/>
      <c r="I6" s="337"/>
      <c r="J6" s="341" t="s">
        <v>426</v>
      </c>
      <c r="K6" s="337"/>
      <c r="L6" s="351"/>
      <c r="M6" s="339"/>
    </row>
    <row r="7" spans="1:13" ht="12">
      <c r="A7" s="337"/>
      <c r="B7" s="337" t="s">
        <v>65</v>
      </c>
      <c r="C7" s="337"/>
      <c r="D7" s="337"/>
      <c r="E7" s="337"/>
      <c r="F7" s="337"/>
      <c r="G7" s="621">
        <f>IF(G4="","",SUM('uppdat-hjälpberäkn'!N1))</f>
      </c>
      <c r="H7" s="622">
        <f>IF(G4="","",SUM(Blad1!V11))</f>
      </c>
      <c r="I7" s="345"/>
      <c r="J7" s="337"/>
      <c r="K7" s="337"/>
      <c r="L7" s="337"/>
      <c r="M7" s="339"/>
    </row>
    <row r="8" spans="1:15" ht="12">
      <c r="A8" s="337"/>
      <c r="B8" s="862">
        <f>LEFT(FAKTA!D7,40)</f>
      </c>
      <c r="C8" s="863"/>
      <c r="D8" s="864"/>
      <c r="E8" s="337"/>
      <c r="F8" s="341"/>
      <c r="H8" s="337"/>
      <c r="I8" s="337"/>
      <c r="J8" s="337"/>
      <c r="K8" s="337"/>
      <c r="L8" s="337"/>
      <c r="M8" s="339"/>
      <c r="O8" s="267"/>
    </row>
    <row r="9" spans="1:13" ht="12">
      <c r="A9" s="337"/>
      <c r="B9" s="347"/>
      <c r="C9" s="337"/>
      <c r="D9" s="337"/>
      <c r="E9" s="337"/>
      <c r="F9" s="337"/>
      <c r="G9" s="868">
        <f>SUM('uppdat-hjälpberäkn'!N1)</f>
        <v>0</v>
      </c>
      <c r="H9" s="869"/>
      <c r="I9" s="337"/>
      <c r="J9" s="345" t="s">
        <v>422</v>
      </c>
      <c r="K9" s="337"/>
      <c r="L9" s="337"/>
      <c r="M9" s="339"/>
    </row>
    <row r="10" spans="1:16" ht="12">
      <c r="A10" s="337"/>
      <c r="B10" s="348"/>
      <c r="C10" s="344"/>
      <c r="D10" s="349"/>
      <c r="E10" s="344"/>
      <c r="F10" s="337"/>
      <c r="G10" s="350" t="s">
        <v>327</v>
      </c>
      <c r="H10" s="350" t="s">
        <v>328</v>
      </c>
      <c r="I10" s="337"/>
      <c r="J10" s="510" t="s">
        <v>44</v>
      </c>
      <c r="K10" s="337"/>
      <c r="L10" s="337"/>
      <c r="M10" s="339"/>
      <c r="O10" s="267"/>
      <c r="P10" s="268"/>
    </row>
    <row r="11" spans="1:13" ht="12.75" thickBot="1">
      <c r="A11" s="337"/>
      <c r="B11" s="349"/>
      <c r="C11" s="337"/>
      <c r="D11" s="337"/>
      <c r="E11" s="337"/>
      <c r="F11" s="351"/>
      <c r="G11" s="498">
        <f>IF(I4="","",SUM(Blad1!Z23))</f>
      </c>
      <c r="H11" s="498">
        <f>IF(G4="","",IF(I4="","",Blad1!AA23))</f>
      </c>
      <c r="I11" s="351"/>
      <c r="J11" s="614">
        <f>SUM('uppdat-hjälpberäkn'!N1)</f>
        <v>0</v>
      </c>
      <c r="K11" s="337"/>
      <c r="L11" s="337"/>
      <c r="M11" s="339"/>
    </row>
    <row r="12" spans="1:16" ht="12.75" thickBot="1">
      <c r="A12" s="337"/>
      <c r="B12" s="352"/>
      <c r="C12" s="352"/>
      <c r="D12" s="352"/>
      <c r="E12" s="352"/>
      <c r="F12" s="352"/>
      <c r="G12" s="617"/>
      <c r="H12" s="618"/>
      <c r="I12" s="352"/>
      <c r="J12" s="509">
        <f>IF(I4="","",IF(K4="X",SUM(FAKTA!S43-FAKTA!S44),SUM(FAKTA!I43-FAKTA!I44)))</f>
      </c>
      <c r="K12" s="337"/>
      <c r="L12" s="337"/>
      <c r="M12" s="339"/>
      <c r="N12" s="353"/>
      <c r="O12" s="354"/>
      <c r="P12" s="355"/>
    </row>
    <row r="13" spans="1:13" ht="12.75" thickBot="1">
      <c r="A13" s="337"/>
      <c r="B13" s="352"/>
      <c r="C13" s="352"/>
      <c r="D13" s="352"/>
      <c r="E13" s="352"/>
      <c r="F13" s="352"/>
      <c r="G13" s="352"/>
      <c r="H13" s="352"/>
      <c r="I13" s="545">
        <f>SUM(B20)</f>
        <v>0</v>
      </c>
      <c r="J13" s="544">
        <f>SUM(Blad1!AB28)</f>
        <v>0</v>
      </c>
      <c r="K13" s="337"/>
      <c r="L13" s="337"/>
      <c r="M13" s="339"/>
    </row>
    <row r="14" spans="1:13" ht="12.75" thickBot="1">
      <c r="A14" s="337"/>
      <c r="B14" s="352"/>
      <c r="C14" s="352"/>
      <c r="D14" s="352"/>
      <c r="E14" s="352"/>
      <c r="F14" s="352"/>
      <c r="G14" s="352"/>
      <c r="H14" s="352"/>
      <c r="I14" s="345" t="s">
        <v>300</v>
      </c>
      <c r="J14" s="509">
        <f>IF(J12="","",IF(J12&lt;0,J12,(J12*J13)))</f>
      </c>
      <c r="K14" s="337"/>
      <c r="L14" s="388"/>
      <c r="M14" s="339"/>
    </row>
    <row r="15" spans="1:17" ht="12">
      <c r="A15" s="337"/>
      <c r="B15" s="352"/>
      <c r="C15" s="352"/>
      <c r="D15" s="340"/>
      <c r="E15" s="352"/>
      <c r="F15" s="352"/>
      <c r="G15" s="352"/>
      <c r="H15" s="352"/>
      <c r="I15" s="337"/>
      <c r="J15" s="352"/>
      <c r="K15" s="337"/>
      <c r="L15" s="345"/>
      <c r="M15" s="339"/>
      <c r="Q15" s="358"/>
    </row>
    <row r="16" spans="1:17" ht="12">
      <c r="A16" s="337"/>
      <c r="B16" s="352"/>
      <c r="C16" s="352"/>
      <c r="D16" s="352"/>
      <c r="E16" s="352"/>
      <c r="F16" s="352"/>
      <c r="G16" s="352"/>
      <c r="H16" s="352"/>
      <c r="I16" s="341"/>
      <c r="J16" s="352"/>
      <c r="K16" s="351"/>
      <c r="L16" s="470"/>
      <c r="M16" s="339"/>
      <c r="Q16" s="358"/>
    </row>
    <row r="17" spans="1:18" ht="12">
      <c r="A17" s="337"/>
      <c r="B17" s="470"/>
      <c r="C17" s="470"/>
      <c r="D17" s="470"/>
      <c r="E17" s="470"/>
      <c r="F17" s="470"/>
      <c r="G17" s="470"/>
      <c r="H17" s="470"/>
      <c r="I17" s="341"/>
      <c r="J17" s="352"/>
      <c r="K17" s="351"/>
      <c r="L17" s="507"/>
      <c r="M17" s="339"/>
      <c r="O17" s="262" t="s">
        <v>209</v>
      </c>
      <c r="P17" s="262" t="s">
        <v>293</v>
      </c>
      <c r="Q17" s="358" t="s">
        <v>293</v>
      </c>
      <c r="R17" s="313"/>
    </row>
    <row r="18" spans="1:19" ht="12">
      <c r="A18" s="337"/>
      <c r="B18" s="470"/>
      <c r="C18" s="470" t="s">
        <v>329</v>
      </c>
      <c r="D18" s="497" t="s">
        <v>417</v>
      </c>
      <c r="E18" s="470"/>
      <c r="F18" s="470"/>
      <c r="G18" s="470" t="s">
        <v>329</v>
      </c>
      <c r="H18" s="470" t="s">
        <v>418</v>
      </c>
      <c r="I18" s="470"/>
      <c r="J18" s="352"/>
      <c r="K18" s="351"/>
      <c r="L18" s="357"/>
      <c r="M18" s="339" t="s">
        <v>414</v>
      </c>
      <c r="N18" s="262" t="s">
        <v>415</v>
      </c>
      <c r="O18" s="262" t="s">
        <v>416</v>
      </c>
      <c r="P18" s="262" t="s">
        <v>445</v>
      </c>
      <c r="Q18" s="358" t="s">
        <v>447</v>
      </c>
      <c r="R18" s="358"/>
      <c r="S18" s="358"/>
    </row>
    <row r="19" spans="1:19" ht="12">
      <c r="A19" s="337"/>
      <c r="B19" s="470" t="s">
        <v>1</v>
      </c>
      <c r="C19" s="470" t="s">
        <v>401</v>
      </c>
      <c r="D19" s="470" t="s">
        <v>312</v>
      </c>
      <c r="E19" s="470" t="s">
        <v>31</v>
      </c>
      <c r="F19" s="471" t="s">
        <v>330</v>
      </c>
      <c r="G19" s="470" t="s">
        <v>209</v>
      </c>
      <c r="H19" s="470" t="s">
        <v>402</v>
      </c>
      <c r="I19" s="470" t="s">
        <v>419</v>
      </c>
      <c r="J19" s="470"/>
      <c r="K19" s="470"/>
      <c r="L19" s="357"/>
      <c r="M19" s="339" t="s">
        <v>8</v>
      </c>
      <c r="N19" s="262" t="s">
        <v>9</v>
      </c>
      <c r="O19" s="262" t="s">
        <v>278</v>
      </c>
      <c r="P19" s="262" t="s">
        <v>446</v>
      </c>
      <c r="Q19" s="358" t="s">
        <v>446</v>
      </c>
      <c r="R19" s="358"/>
      <c r="S19" s="358"/>
    </row>
    <row r="20" spans="1:19" ht="12">
      <c r="A20" s="337"/>
      <c r="B20" s="499">
        <f>IF(Blad1!Z28="","",IF(OR($I$4=66,$I$4=67,$I$4=68,$I$4=69,$I$4=70,$I$4=71,$I$4=72,$I$4=73,$I$4=74,$I$4=75),SUM(Blad1!Z28),""))</f>
      </c>
      <c r="C20" s="500">
        <f>IF(OR(B20=0,B20=""),"",IF(LOOKUP(B20,'uppdat-hjälpberäkn'!$F$4:$F$94,'uppdat-hjälpberäkn'!$H$4:$H$94)=0,'uppdat-hjälpberäkn'!$H$101,LOOKUP('ink eft pens, uttag 65,67'!B20,'uppdat-hjälpberäkn'!$F$4:$F$94,'uppdat-hjälpberäkn'!$H$4:$H$94)))</f>
      </c>
      <c r="D20" s="18"/>
      <c r="E20" s="18"/>
      <c r="F20" s="501">
        <f>IF(B20="","",Blad1!AB28)</f>
      </c>
      <c r="G20" s="502">
        <f aca="true" t="shared" si="0" ref="G20:G30">IF(OR(B20=0,B20=""),"",O20*F20)</f>
      </c>
      <c r="H20" s="503">
        <f>IF(B20="","",LOOKUP(B20,Blad1!$B$9:$B$19,Blad1!$C$9:$C$19))</f>
      </c>
      <c r="I20" s="522">
        <f aca="true" t="shared" si="1" ref="I20:I30">IF(B20="","",SUM(G20*H20))</f>
      </c>
      <c r="J20" s="508">
        <f aca="true" t="shared" si="2" ref="J20:J30">IF(I20&gt;0,Q20,0)</f>
        <v>0</v>
      </c>
      <c r="K20" s="507"/>
      <c r="L20" s="507"/>
      <c r="M20" s="496">
        <f aca="true" t="shared" si="3" ref="M20:M30">IF(B20="","",IF(D20&gt;C20,C20,D20))</f>
      </c>
      <c r="N20" s="496">
        <f aca="true" t="shared" si="4" ref="N20:N30">IF(B20="","",IF(E20&gt;C20,C20,E20))</f>
      </c>
      <c r="O20" s="496">
        <f aca="true" t="shared" si="5" ref="O20:O30">IF(B20="","",SUM(M20-N20))</f>
      </c>
      <c r="P20" s="546">
        <f>IF(OR(D20="",B20=""),0,SUM(I20+J14))</f>
        <v>0</v>
      </c>
      <c r="Q20" s="523">
        <f>SUM(P20)</f>
        <v>0</v>
      </c>
      <c r="R20" s="358"/>
      <c r="S20" s="358"/>
    </row>
    <row r="21" spans="1:19" ht="12">
      <c r="A21" s="337"/>
      <c r="B21" s="499">
        <f>IF(Blad1!Z29="","",IF(OR($I$4=66,$I$4=67,$I$4=68,$I$4=69,$I$4=70,$I$4=71,$I$4=72,$I$4=73,$I$4=74,$I$4=75),SUM(Blad1!Z29),""))</f>
      </c>
      <c r="C21" s="500">
        <f>IF(OR(B21=0,B21=""),"",IF(LOOKUP(B21,'uppdat-hjälpberäkn'!$F$4:$F$94,'uppdat-hjälpberäkn'!$H$4:$H$94)=0,'uppdat-hjälpberäkn'!$H$101,LOOKUP('ink eft pens, uttag 65,67'!B21,'uppdat-hjälpberäkn'!$F$4:$F$94,'uppdat-hjälpberäkn'!$H$4:$H$94)))</f>
      </c>
      <c r="D21" s="18"/>
      <c r="E21" s="18"/>
      <c r="F21" s="501">
        <f>IF(B21="","",Blad1!AB29)</f>
      </c>
      <c r="G21" s="502">
        <f t="shared" si="0"/>
      </c>
      <c r="H21" s="503">
        <f>IF(B21="","",LOOKUP(B21,Blad1!$B$9:$B$19,Blad1!$C$9:$C$19))</f>
      </c>
      <c r="I21" s="522">
        <f t="shared" si="1"/>
      </c>
      <c r="J21" s="508">
        <f>IF(B21="",0,IF(I21&gt;0,(J12*F21)+I20+I21,0))</f>
        <v>0</v>
      </c>
      <c r="K21" s="507"/>
      <c r="L21" s="507"/>
      <c r="M21" s="496">
        <f t="shared" si="3"/>
      </c>
      <c r="N21" s="496">
        <f t="shared" si="4"/>
      </c>
      <c r="O21" s="496">
        <f t="shared" si="5"/>
      </c>
      <c r="P21" s="546">
        <f>IF(OR(D21="",B21=""),0,SUM(I21+J12+I20))</f>
        <v>0</v>
      </c>
      <c r="Q21" s="523">
        <f>SUM(P21)</f>
        <v>0</v>
      </c>
      <c r="R21" s="358"/>
      <c r="S21" s="358"/>
    </row>
    <row r="22" spans="1:19" ht="12">
      <c r="A22" s="337"/>
      <c r="B22" s="499">
        <f>IF(Blad1!Z30="","",IF(OR($I$4=66,$I$4=67,$I$4=68,$I$4=69,$I$4=70,$I$4=71,$I$4=72,$I$4=73,$I$4=74,$I$4=75),SUM(Blad1!Z30),""))</f>
      </c>
      <c r="C22" s="500">
        <f>IF(OR(B22=0,B22=""),"",IF(LOOKUP(B22,'uppdat-hjälpberäkn'!$F$4:$F$94,'uppdat-hjälpberäkn'!$H$4:$H$94)=0,'uppdat-hjälpberäkn'!$H$101,LOOKUP('ink eft pens, uttag 65,67'!B22,'uppdat-hjälpberäkn'!$F$4:$F$94,'uppdat-hjälpberäkn'!$H$4:$H$94)))</f>
      </c>
      <c r="D22" s="18"/>
      <c r="E22" s="18"/>
      <c r="F22" s="501">
        <f>IF(B22="","",Blad1!AB30)</f>
      </c>
      <c r="G22" s="502">
        <f t="shared" si="0"/>
      </c>
      <c r="H22" s="503">
        <f>IF(B22="","",LOOKUP(B22,Blad1!$B$9:$B$19,Blad1!$C$9:$C$19))</f>
      </c>
      <c r="I22" s="522">
        <f t="shared" si="1"/>
      </c>
      <c r="J22" s="508">
        <f t="shared" si="2"/>
        <v>0</v>
      </c>
      <c r="K22" s="507"/>
      <c r="L22" s="507"/>
      <c r="M22" s="496">
        <f t="shared" si="3"/>
      </c>
      <c r="N22" s="496">
        <f t="shared" si="4"/>
      </c>
      <c r="O22" s="496">
        <f t="shared" si="5"/>
      </c>
      <c r="P22" s="546">
        <f aca="true" t="shared" si="6" ref="P22:P30">IF(OR(D22="",B22=""),0,SUM(I22+P21))</f>
        <v>0</v>
      </c>
      <c r="Q22" s="523">
        <f aca="true" t="shared" si="7" ref="Q22:Q30">IF(B22="",0,SUM(I22+(P21*F22)))</f>
        <v>0</v>
      </c>
      <c r="R22" s="358"/>
      <c r="S22" s="358"/>
    </row>
    <row r="23" spans="1:19" ht="12">
      <c r="A23" s="337"/>
      <c r="B23" s="499">
        <f>IF(Blad1!Z31="","",IF(OR($I$4=66,$I$4=67,$I$4=68,$I$4=69,$I$4=70,$I$4=71,$I$4=72,$I$4=73,$I$4=74,$I$4=75),SUM(Blad1!Z31),""))</f>
      </c>
      <c r="C23" s="500">
        <f>IF(OR(B23=0,B23=""),"",IF(LOOKUP(B23,'uppdat-hjälpberäkn'!$F$4:$F$94,'uppdat-hjälpberäkn'!$H$4:$H$94)=0,'uppdat-hjälpberäkn'!$H$101,LOOKUP('ink eft pens, uttag 65,67'!B23,'uppdat-hjälpberäkn'!$F$4:$F$94,'uppdat-hjälpberäkn'!$H$4:$H$94)))</f>
      </c>
      <c r="D23" s="18"/>
      <c r="E23" s="18"/>
      <c r="F23" s="501">
        <f>IF(B23="","",Blad1!AB31)</f>
      </c>
      <c r="G23" s="502">
        <f t="shared" si="0"/>
      </c>
      <c r="H23" s="503">
        <f>IF(B23="","",LOOKUP(B23,Blad1!$B$9:$B$19,Blad1!$C$9:$C$19))</f>
      </c>
      <c r="I23" s="522">
        <f t="shared" si="1"/>
      </c>
      <c r="J23" s="508">
        <f t="shared" si="2"/>
        <v>0</v>
      </c>
      <c r="K23" s="507"/>
      <c r="L23" s="507"/>
      <c r="M23" s="496">
        <f t="shared" si="3"/>
      </c>
      <c r="N23" s="496">
        <f t="shared" si="4"/>
      </c>
      <c r="O23" s="496">
        <f t="shared" si="5"/>
      </c>
      <c r="P23" s="546">
        <f t="shared" si="6"/>
        <v>0</v>
      </c>
      <c r="Q23" s="523">
        <f t="shared" si="7"/>
        <v>0</v>
      </c>
      <c r="R23" s="358"/>
      <c r="S23" s="358"/>
    </row>
    <row r="24" spans="1:19" ht="12">
      <c r="A24" s="337"/>
      <c r="B24" s="499">
        <f>IF(Blad1!Z32="","",IF(OR($I$4=66,$I$4=67,$I$4=68,$I$4=69,$I$4=70,$I$4=71,$I$4=72,$I$4=73,$I$4=74,$I$4=75),SUM(Blad1!Z32),""))</f>
      </c>
      <c r="C24" s="500">
        <f>IF(OR(B24=0,B24=""),"",IF(LOOKUP(B24,'uppdat-hjälpberäkn'!$F$4:$F$94,'uppdat-hjälpberäkn'!$H$4:$H$94)=0,'uppdat-hjälpberäkn'!$H$101,LOOKUP('ink eft pens, uttag 65,67'!B24,'uppdat-hjälpberäkn'!$F$4:$F$94,'uppdat-hjälpberäkn'!$H$4:$H$94)))</f>
      </c>
      <c r="D24" s="18"/>
      <c r="E24" s="18"/>
      <c r="F24" s="501">
        <f>IF(B24="","",Blad1!AB32)</f>
      </c>
      <c r="G24" s="502">
        <f t="shared" si="0"/>
      </c>
      <c r="H24" s="503">
        <f>IF(B24="","",LOOKUP(B24,Blad1!$B$9:$B$19,Blad1!$C$9:$C$19))</f>
      </c>
      <c r="I24" s="522">
        <f t="shared" si="1"/>
      </c>
      <c r="J24" s="508">
        <f t="shared" si="2"/>
        <v>0</v>
      </c>
      <c r="K24" s="507"/>
      <c r="L24" s="507"/>
      <c r="M24" s="496">
        <f t="shared" si="3"/>
      </c>
      <c r="N24" s="496">
        <f t="shared" si="4"/>
      </c>
      <c r="O24" s="496">
        <f t="shared" si="5"/>
      </c>
      <c r="P24" s="546">
        <f t="shared" si="6"/>
        <v>0</v>
      </c>
      <c r="Q24" s="523">
        <f t="shared" si="7"/>
        <v>0</v>
      </c>
      <c r="R24" s="358"/>
      <c r="S24" s="358"/>
    </row>
    <row r="25" spans="1:19" ht="12">
      <c r="A25" s="337"/>
      <c r="B25" s="499">
        <f>IF(Blad1!Z33="","",IF(OR($I$4=66,$I$4=67,$I$4=68,$I$4=69,$I$4=70,$I$4=71,$I$4=72,$I$4=73,$I$4=74,$I$4=75),SUM(Blad1!Z33),""))</f>
      </c>
      <c r="C25" s="500">
        <f>IF(OR(B25=0,B25=""),"",IF(LOOKUP(B25,'uppdat-hjälpberäkn'!$F$4:$F$94,'uppdat-hjälpberäkn'!$H$4:$H$94)=0,'uppdat-hjälpberäkn'!$H$101,LOOKUP('ink eft pens, uttag 65,67'!B25,'uppdat-hjälpberäkn'!$F$4:$F$94,'uppdat-hjälpberäkn'!$H$4:$H$94)))</f>
      </c>
      <c r="D25" s="18"/>
      <c r="E25" s="18"/>
      <c r="F25" s="501">
        <f>IF(B25="","",Blad1!AB33)</f>
      </c>
      <c r="G25" s="502">
        <f t="shared" si="0"/>
      </c>
      <c r="H25" s="503">
        <f>IF(B25="","",LOOKUP(B25,Blad1!$B$9:$B$19,Blad1!$C$9:$C$19))</f>
      </c>
      <c r="I25" s="522">
        <f t="shared" si="1"/>
      </c>
      <c r="J25" s="508">
        <f t="shared" si="2"/>
        <v>0</v>
      </c>
      <c r="K25" s="507"/>
      <c r="L25" s="507"/>
      <c r="M25" s="496">
        <f t="shared" si="3"/>
      </c>
      <c r="N25" s="496">
        <f t="shared" si="4"/>
      </c>
      <c r="O25" s="496">
        <f t="shared" si="5"/>
      </c>
      <c r="P25" s="546">
        <f t="shared" si="6"/>
        <v>0</v>
      </c>
      <c r="Q25" s="523">
        <f t="shared" si="7"/>
        <v>0</v>
      </c>
      <c r="R25" s="358"/>
      <c r="S25" s="358"/>
    </row>
    <row r="26" spans="1:19" ht="12">
      <c r="A26" s="337"/>
      <c r="B26" s="499">
        <f>IF(Blad1!Z34="","",IF(OR($I$4=66,$I$4=67,$I$4=68,$I$4=69,$I$4=70,$I$4=71,$I$4=72,$I$4=73,$I$4=74,$I$4=75),SUM(Blad1!Z34),""))</f>
      </c>
      <c r="C26" s="500">
        <f>IF(OR(B26=0,B26=""),"",IF(LOOKUP(B26,'uppdat-hjälpberäkn'!$F$4:$F$94,'uppdat-hjälpberäkn'!$H$4:$H$94)=0,'uppdat-hjälpberäkn'!$H$101,LOOKUP('ink eft pens, uttag 65,67'!B26,'uppdat-hjälpberäkn'!$F$4:$F$94,'uppdat-hjälpberäkn'!$H$4:$H$94)))</f>
      </c>
      <c r="D26" s="18"/>
      <c r="E26" s="18"/>
      <c r="F26" s="501">
        <f>IF(B26="","",Blad1!AB34)</f>
      </c>
      <c r="G26" s="502">
        <f t="shared" si="0"/>
      </c>
      <c r="H26" s="503">
        <f>IF(B26="","",LOOKUP(B26,Blad1!$B$9:$B$19,Blad1!$C$9:$C$19))</f>
      </c>
      <c r="I26" s="522">
        <f t="shared" si="1"/>
      </c>
      <c r="J26" s="508">
        <f t="shared" si="2"/>
        <v>0</v>
      </c>
      <c r="K26" s="507"/>
      <c r="L26" s="507"/>
      <c r="M26" s="496">
        <f t="shared" si="3"/>
      </c>
      <c r="N26" s="496">
        <f t="shared" si="4"/>
      </c>
      <c r="O26" s="496">
        <f t="shared" si="5"/>
      </c>
      <c r="P26" s="546">
        <f t="shared" si="6"/>
        <v>0</v>
      </c>
      <c r="Q26" s="523">
        <f t="shared" si="7"/>
        <v>0</v>
      </c>
      <c r="R26" s="358"/>
      <c r="S26" s="358"/>
    </row>
    <row r="27" spans="1:19" ht="12">
      <c r="A27" s="337"/>
      <c r="B27" s="499">
        <f>IF(Blad1!Z35="","",IF(OR($I$4=66,$I$4=67,$I$4=68,$I$4=69,$I$4=70,$I$4=71,$I$4=72,$I$4=73,$I$4=74,$I$4=75),SUM(Blad1!Z35),""))</f>
      </c>
      <c r="C27" s="500">
        <f>IF(OR(B27=0,B27=""),"",IF(LOOKUP(B27,'uppdat-hjälpberäkn'!$F$4:$F$94,'uppdat-hjälpberäkn'!$H$4:$H$94)=0,'uppdat-hjälpberäkn'!$H$101,LOOKUP('ink eft pens, uttag 65,67'!B27,'uppdat-hjälpberäkn'!$F$4:$F$94,'uppdat-hjälpberäkn'!$H$4:$H$94)))</f>
      </c>
      <c r="D27" s="18"/>
      <c r="E27" s="18"/>
      <c r="F27" s="501">
        <f>IF(B27="","",Blad1!AB35)</f>
      </c>
      <c r="G27" s="502">
        <f t="shared" si="0"/>
      </c>
      <c r="H27" s="503">
        <f>IF(B27="","",LOOKUP(B27,Blad1!$B$9:$B$19,Blad1!$C$9:$C$19))</f>
      </c>
      <c r="I27" s="522">
        <f t="shared" si="1"/>
      </c>
      <c r="J27" s="508">
        <f t="shared" si="2"/>
        <v>0</v>
      </c>
      <c r="K27" s="507"/>
      <c r="L27" s="507"/>
      <c r="M27" s="496">
        <f t="shared" si="3"/>
      </c>
      <c r="N27" s="496">
        <f t="shared" si="4"/>
      </c>
      <c r="O27" s="496">
        <f t="shared" si="5"/>
      </c>
      <c r="P27" s="546">
        <f t="shared" si="6"/>
        <v>0</v>
      </c>
      <c r="Q27" s="523">
        <f t="shared" si="7"/>
        <v>0</v>
      </c>
      <c r="R27" s="358"/>
      <c r="S27" s="358"/>
    </row>
    <row r="28" spans="1:19" ht="12">
      <c r="A28" s="337"/>
      <c r="B28" s="499">
        <f>IF(Blad1!Z36="","",IF(OR($I$4=66,$I$4=67,$I$4=68,$I$4=69,$I$4=70,$I$4=71,$I$4=72,$I$4=73,$I$4=74,$I$4=75),SUM(Blad1!Z36),""))</f>
      </c>
      <c r="C28" s="500">
        <f>IF(OR(B28=0,B28=""),"",IF(LOOKUP(B28,'uppdat-hjälpberäkn'!$F$4:$F$94,'uppdat-hjälpberäkn'!$H$4:$H$94)=0,'uppdat-hjälpberäkn'!$H$101,LOOKUP('ink eft pens, uttag 65,67'!B28,'uppdat-hjälpberäkn'!$F$4:$F$94,'uppdat-hjälpberäkn'!$H$4:$H$94)))</f>
      </c>
      <c r="D28" s="18"/>
      <c r="E28" s="18"/>
      <c r="F28" s="501">
        <f>IF(B28="","",Blad1!AB36)</f>
      </c>
      <c r="G28" s="502">
        <f t="shared" si="0"/>
      </c>
      <c r="H28" s="503">
        <f>IF(B28="","",LOOKUP(B28,Blad1!$B$9:$B$19,Blad1!$C$9:$C$19))</f>
      </c>
      <c r="I28" s="522">
        <f t="shared" si="1"/>
      </c>
      <c r="J28" s="508">
        <f t="shared" si="2"/>
        <v>0</v>
      </c>
      <c r="K28" s="507"/>
      <c r="L28" s="507"/>
      <c r="M28" s="496">
        <f t="shared" si="3"/>
      </c>
      <c r="N28" s="496">
        <f t="shared" si="4"/>
      </c>
      <c r="O28" s="496">
        <f t="shared" si="5"/>
      </c>
      <c r="P28" s="546">
        <f t="shared" si="6"/>
        <v>0</v>
      </c>
      <c r="Q28" s="523">
        <f t="shared" si="7"/>
        <v>0</v>
      </c>
      <c r="R28" s="358"/>
      <c r="S28" s="358"/>
    </row>
    <row r="29" spans="1:19" ht="12">
      <c r="A29" s="337"/>
      <c r="B29" s="499">
        <f>IF(Blad1!Z37="","",IF(OR($I$4=66,$I$4=67,$I$4=68,$I$4=69,$I$4=70,$I$4=71,$I$4=72,$I$4=73,$I$4=74,$I$4=75),SUM(Blad1!Z37),""))</f>
      </c>
      <c r="C29" s="500">
        <f>IF(OR(B29=0,B29=""),"",IF(LOOKUP(B29,'uppdat-hjälpberäkn'!$F$4:$F$94,'uppdat-hjälpberäkn'!$H$4:$H$94)=0,'uppdat-hjälpberäkn'!$H$101,LOOKUP('ink eft pens, uttag 65,67'!B29,'uppdat-hjälpberäkn'!$F$4:$F$94,'uppdat-hjälpberäkn'!$H$4:$H$94)))</f>
      </c>
      <c r="D29" s="18"/>
      <c r="E29" s="18"/>
      <c r="F29" s="501">
        <f>IF(B29="","",Blad1!AB37)</f>
      </c>
      <c r="G29" s="502">
        <f t="shared" si="0"/>
      </c>
      <c r="H29" s="503">
        <f>IF(B29="","",LOOKUP(B29,Blad1!$B$9:$B$19,Blad1!$C$9:$C$19))</f>
      </c>
      <c r="I29" s="522">
        <f t="shared" si="1"/>
      </c>
      <c r="J29" s="508">
        <f t="shared" si="2"/>
        <v>0</v>
      </c>
      <c r="K29" s="357"/>
      <c r="L29" s="507"/>
      <c r="M29" s="496">
        <f t="shared" si="3"/>
      </c>
      <c r="N29" s="496">
        <f t="shared" si="4"/>
      </c>
      <c r="O29" s="496">
        <f t="shared" si="5"/>
      </c>
      <c r="P29" s="546">
        <f t="shared" si="6"/>
        <v>0</v>
      </c>
      <c r="Q29" s="523">
        <f t="shared" si="7"/>
        <v>0</v>
      </c>
      <c r="R29" s="358"/>
      <c r="S29" s="358"/>
    </row>
    <row r="30" spans="1:19" ht="12.75" thickBot="1">
      <c r="A30" s="337"/>
      <c r="B30" s="499">
        <f>IF(Blad1!Z38="","",IF(OR($I$4=66,$I$4=67,$I$4=68,$I$4=69,$I$4=70,$I$4=71,$I$4=72,$I$4=73,$I$4=74,$I$4=75),SUM(Blad1!Z38),""))</f>
      </c>
      <c r="C30" s="500">
        <f>IF(OR(B30=0,B30=""),"",IF(LOOKUP(B30,'uppdat-hjälpberäkn'!$F$4:$F$94,'uppdat-hjälpberäkn'!$H$4:$H$94)=0,'uppdat-hjälpberäkn'!$H$101,LOOKUP('ink eft pens, uttag 65,67'!B30,'uppdat-hjälpberäkn'!$F$4:$F$94,'uppdat-hjälpberäkn'!$H$4:$H$94)))</f>
      </c>
      <c r="D30" s="18"/>
      <c r="E30" s="18"/>
      <c r="F30" s="501">
        <f>IF(B30="","",Blad1!AB38)</f>
      </c>
      <c r="G30" s="502">
        <f t="shared" si="0"/>
      </c>
      <c r="H30" s="503">
        <f>IF(B30="","",LOOKUP(B30,Blad1!$B$9:$B$19,Blad1!$C$9:$C$19))</f>
      </c>
      <c r="I30" s="522">
        <f t="shared" si="1"/>
      </c>
      <c r="J30" s="508">
        <f t="shared" si="2"/>
        <v>0</v>
      </c>
      <c r="K30" s="341"/>
      <c r="L30" s="341"/>
      <c r="M30" s="496">
        <f t="shared" si="3"/>
      </c>
      <c r="N30" s="496">
        <f t="shared" si="4"/>
      </c>
      <c r="O30" s="496">
        <f t="shared" si="5"/>
      </c>
      <c r="P30" s="546">
        <f t="shared" si="6"/>
        <v>0</v>
      </c>
      <c r="Q30" s="523">
        <f t="shared" si="7"/>
        <v>0</v>
      </c>
      <c r="R30" s="358"/>
      <c r="S30" s="358"/>
    </row>
    <row r="31" spans="1:19" ht="12.75" thickBot="1">
      <c r="A31" s="337"/>
      <c r="B31" s="497"/>
      <c r="C31" s="470"/>
      <c r="D31" s="506"/>
      <c r="E31" s="470"/>
      <c r="F31" s="505"/>
      <c r="G31" s="520">
        <f>SUM(G20:G30)</f>
        <v>0</v>
      </c>
      <c r="H31" s="497" t="s">
        <v>444</v>
      </c>
      <c r="I31" s="497"/>
      <c r="J31" s="509">
        <f>MAX(J20+J21+J22+J23+J24+J25+J26+J27+J28+J29+J30,0)</f>
        <v>0</v>
      </c>
      <c r="K31" s="341"/>
      <c r="L31" s="341"/>
      <c r="M31" s="339"/>
      <c r="P31" s="547">
        <f>SUM(P20:P30)</f>
        <v>0</v>
      </c>
      <c r="Q31" s="547">
        <f>SUM(Q20:Q30)</f>
        <v>0</v>
      </c>
      <c r="R31" s="358"/>
      <c r="S31" s="358"/>
    </row>
    <row r="32" spans="1:19" ht="12">
      <c r="A32" s="337"/>
      <c r="B32" s="504"/>
      <c r="C32" s="341"/>
      <c r="D32" s="470"/>
      <c r="E32" s="470"/>
      <c r="F32" s="341"/>
      <c r="G32" s="497"/>
      <c r="H32" s="497"/>
      <c r="I32" s="497"/>
      <c r="J32" s="341"/>
      <c r="K32" s="341"/>
      <c r="L32" s="341"/>
      <c r="M32" s="339"/>
      <c r="R32" s="358"/>
      <c r="S32" s="358"/>
    </row>
    <row r="33" spans="1:12" ht="12">
      <c r="A33" s="337"/>
      <c r="B33" s="504"/>
      <c r="C33" s="504"/>
      <c r="D33" s="504"/>
      <c r="E33" s="504"/>
      <c r="F33" s="504"/>
      <c r="G33" s="504"/>
      <c r="H33" s="504"/>
      <c r="I33" s="777"/>
      <c r="J33" s="504"/>
      <c r="K33" s="504"/>
      <c r="L33" s="504"/>
    </row>
    <row r="34" spans="1:12" ht="12">
      <c r="A34" s="337"/>
      <c r="B34" s="356" t="s">
        <v>331</v>
      </c>
      <c r="C34" s="352"/>
      <c r="D34" s="352"/>
      <c r="E34" s="352"/>
      <c r="F34" s="351"/>
      <c r="G34" s="504"/>
      <c r="H34" s="504"/>
      <c r="I34" s="504"/>
      <c r="J34" s="504"/>
      <c r="K34" s="504"/>
      <c r="L34" s="504"/>
    </row>
    <row r="35" spans="1:12" ht="12">
      <c r="A35" s="337"/>
      <c r="B35" s="472" t="s">
        <v>100</v>
      </c>
      <c r="C35" s="352"/>
      <c r="D35" s="352"/>
      <c r="E35" s="352"/>
      <c r="F35" s="351"/>
      <c r="G35" s="504"/>
      <c r="H35" s="504"/>
      <c r="I35" s="504"/>
      <c r="J35" s="504"/>
      <c r="K35" s="504"/>
      <c r="L35" s="504"/>
    </row>
    <row r="36" spans="1:13" ht="12.75" thickBot="1">
      <c r="A36" s="337"/>
      <c r="B36" s="537">
        <f>SUM(Blad1!D12)</f>
        <v>0.0101</v>
      </c>
      <c r="C36" s="486">
        <f aca="true" t="shared" si="8" ref="C36:C46">SUM(18.5%*0.93/E36)</f>
        <v>0.010061403508771929</v>
      </c>
      <c r="D36" s="517" t="s">
        <v>288</v>
      </c>
      <c r="E36" s="518">
        <f>SUM('uppdat-hjälpberäkn'!N4)</f>
        <v>17.1</v>
      </c>
      <c r="F36" s="538" t="s">
        <v>289</v>
      </c>
      <c r="G36" s="497"/>
      <c r="H36" s="497"/>
      <c r="I36" s="497"/>
      <c r="J36" s="341"/>
      <c r="K36" s="341"/>
      <c r="L36" s="341"/>
      <c r="M36" s="339"/>
    </row>
    <row r="37" spans="1:16" ht="13.5" thickBot="1">
      <c r="A37" s="337"/>
      <c r="B37" s="537">
        <f>SUM(Blad1!D13)</f>
        <v>0.0104</v>
      </c>
      <c r="C37" s="486">
        <f t="shared" si="8"/>
        <v>0.010427272727272728</v>
      </c>
      <c r="D37" s="517" t="s">
        <v>288</v>
      </c>
      <c r="E37" s="518">
        <f>SUM('uppdat-hjälpberäkn'!N5)</f>
        <v>16.5</v>
      </c>
      <c r="F37" s="538" t="s">
        <v>332</v>
      </c>
      <c r="G37" s="513" t="s">
        <v>423</v>
      </c>
      <c r="H37" s="356"/>
      <c r="I37" s="512">
        <f>SUM(I4)</f>
        <v>0</v>
      </c>
      <c r="J37" s="511">
        <f>IF(I4="",0,J31)</f>
        <v>0</v>
      </c>
      <c r="K37" s="341"/>
      <c r="L37" s="337"/>
      <c r="M37" s="339"/>
      <c r="P37" s="262" t="s">
        <v>293</v>
      </c>
    </row>
    <row r="38" spans="1:16" ht="13.5" thickBot="1">
      <c r="A38" s="337"/>
      <c r="B38" s="537">
        <f>SUM(Blad1!D14)</f>
        <v>0.0108</v>
      </c>
      <c r="C38" s="486">
        <f t="shared" si="8"/>
        <v>0.010820754716981133</v>
      </c>
      <c r="D38" s="517" t="s">
        <v>288</v>
      </c>
      <c r="E38" s="518">
        <f>SUM('uppdat-hjälpberäkn'!N6)</f>
        <v>15.9</v>
      </c>
      <c r="F38" s="538" t="s">
        <v>290</v>
      </c>
      <c r="G38" s="352"/>
      <c r="H38" s="513" t="s">
        <v>424</v>
      </c>
      <c r="I38" s="337"/>
      <c r="J38" s="511" t="e">
        <f>SUM(I20:I30)+J12</f>
        <v>#VALUE!</v>
      </c>
      <c r="K38" s="341"/>
      <c r="L38" s="337"/>
      <c r="M38" s="339"/>
      <c r="P38" s="511">
        <f>IF(I4="",0,LOOKUP(YEAR(H11),B20:B30,P20:P30))</f>
        <v>0</v>
      </c>
    </row>
    <row r="39" spans="1:13" ht="12">
      <c r="A39" s="337"/>
      <c r="B39" s="537">
        <f>SUM(Blad1!D15)</f>
        <v>0.0112</v>
      </c>
      <c r="C39" s="486">
        <f t="shared" si="8"/>
        <v>0.011245098039215687</v>
      </c>
      <c r="D39" s="517" t="s">
        <v>288</v>
      </c>
      <c r="E39" s="518">
        <f>SUM('uppdat-hjälpberäkn'!N7)</f>
        <v>15.3</v>
      </c>
      <c r="F39" s="538" t="s">
        <v>403</v>
      </c>
      <c r="G39" s="337"/>
      <c r="H39" s="337"/>
      <c r="I39" s="337"/>
      <c r="J39" s="337"/>
      <c r="K39" s="341"/>
      <c r="L39" s="337"/>
      <c r="M39" s="339"/>
    </row>
    <row r="40" spans="1:13" ht="12">
      <c r="A40" s="337"/>
      <c r="B40" s="537">
        <f>SUM(Blad1!D16)</f>
        <v>0.0117</v>
      </c>
      <c r="C40" s="486">
        <f t="shared" si="8"/>
        <v>0.011704081632653062</v>
      </c>
      <c r="D40" s="517" t="s">
        <v>288</v>
      </c>
      <c r="E40" s="518">
        <f>SUM('uppdat-hjälpberäkn'!N8)</f>
        <v>14.7</v>
      </c>
      <c r="F40" s="538" t="s">
        <v>404</v>
      </c>
      <c r="G40" s="337"/>
      <c r="H40" s="337"/>
      <c r="I40" s="337"/>
      <c r="J40" s="337"/>
      <c r="K40" s="337"/>
      <c r="L40" s="337"/>
      <c r="M40" s="339"/>
    </row>
    <row r="41" spans="1:13" ht="12">
      <c r="A41" s="337"/>
      <c r="B41" s="537">
        <f>SUM(Blad1!D17)</f>
        <v>0.0121</v>
      </c>
      <c r="C41" s="486">
        <f t="shared" si="8"/>
        <v>0.012116197183098592</v>
      </c>
      <c r="D41" s="517" t="s">
        <v>288</v>
      </c>
      <c r="E41" s="518">
        <f>SUM('uppdat-hjälpberäkn'!N9)</f>
        <v>14.2</v>
      </c>
      <c r="F41" s="538" t="s">
        <v>291</v>
      </c>
      <c r="G41" s="337"/>
      <c r="H41" s="337"/>
      <c r="I41" s="337"/>
      <c r="J41" s="337"/>
      <c r="K41" s="337"/>
      <c r="L41" s="337"/>
      <c r="M41" s="339"/>
    </row>
    <row r="42" spans="1:13" ht="12">
      <c r="A42" s="337"/>
      <c r="B42" s="537">
        <f>SUM(Blad1!D18)</f>
        <v>0.0127</v>
      </c>
      <c r="C42" s="486">
        <f t="shared" si="8"/>
        <v>0.012650735294117648</v>
      </c>
      <c r="D42" s="517" t="s">
        <v>288</v>
      </c>
      <c r="E42" s="518">
        <f>SUM('uppdat-hjälpberäkn'!N10)</f>
        <v>13.6</v>
      </c>
      <c r="F42" s="538" t="s">
        <v>432</v>
      </c>
      <c r="G42" s="351"/>
      <c r="H42" s="351"/>
      <c r="I42" s="351"/>
      <c r="J42" s="337"/>
      <c r="K42" s="337"/>
      <c r="L42" s="337"/>
      <c r="M42" s="339"/>
    </row>
    <row r="43" spans="1:13" ht="12">
      <c r="A43" s="337"/>
      <c r="B43" s="537">
        <f>SUM(Blad1!D19)</f>
        <v>0.0132</v>
      </c>
      <c r="C43" s="486">
        <f t="shared" si="8"/>
        <v>0.013234615384615385</v>
      </c>
      <c r="D43" s="517" t="s">
        <v>288</v>
      </c>
      <c r="E43" s="518">
        <f>SUM('uppdat-hjälpberäkn'!N11)</f>
        <v>13</v>
      </c>
      <c r="F43" s="538" t="s">
        <v>433</v>
      </c>
      <c r="G43" s="351"/>
      <c r="H43" s="351"/>
      <c r="I43" s="351"/>
      <c r="J43" s="337"/>
      <c r="K43" s="337"/>
      <c r="L43" s="337"/>
      <c r="M43" s="339"/>
    </row>
    <row r="44" spans="1:13" ht="12">
      <c r="A44" s="337"/>
      <c r="B44" s="537">
        <f>SUM(Blad1!D20)</f>
        <v>0.0139</v>
      </c>
      <c r="C44" s="486">
        <f t="shared" si="8"/>
        <v>0.013875</v>
      </c>
      <c r="D44" s="517" t="s">
        <v>288</v>
      </c>
      <c r="E44" s="518">
        <f>SUM('uppdat-hjälpberäkn'!N12)</f>
        <v>12.4</v>
      </c>
      <c r="F44" s="538" t="s">
        <v>434</v>
      </c>
      <c r="G44" s="351"/>
      <c r="H44" s="351"/>
      <c r="I44" s="351"/>
      <c r="J44" s="337"/>
      <c r="K44" s="337"/>
      <c r="L44" s="337"/>
      <c r="M44" s="339"/>
    </row>
    <row r="45" spans="1:16" ht="12">
      <c r="A45" s="337"/>
      <c r="B45" s="537">
        <f>SUM(Blad1!D21)</f>
        <v>0.0146</v>
      </c>
      <c r="C45" s="486">
        <f t="shared" si="8"/>
        <v>0.014580508474576271</v>
      </c>
      <c r="D45" s="517" t="s">
        <v>288</v>
      </c>
      <c r="E45" s="518">
        <f>SUM('uppdat-hjälpberäkn'!N13)</f>
        <v>11.8</v>
      </c>
      <c r="F45" s="538" t="s">
        <v>435</v>
      </c>
      <c r="G45" s="351"/>
      <c r="H45" s="337"/>
      <c r="I45" s="351"/>
      <c r="J45" s="337"/>
      <c r="K45" s="337"/>
      <c r="L45" s="337"/>
      <c r="M45" s="339"/>
      <c r="P45" s="359"/>
    </row>
    <row r="46" spans="1:13" ht="12">
      <c r="A46" s="337"/>
      <c r="B46" s="537">
        <f>SUM(Blad1!D22)</f>
        <v>0.0154</v>
      </c>
      <c r="C46" s="486">
        <f t="shared" si="8"/>
        <v>0.015361607142857144</v>
      </c>
      <c r="D46" s="517" t="s">
        <v>288</v>
      </c>
      <c r="E46" s="518">
        <f>SUM('uppdat-hjälpberäkn'!N14)</f>
        <v>11.2</v>
      </c>
      <c r="F46" s="538" t="s">
        <v>436</v>
      </c>
      <c r="G46" s="351"/>
      <c r="H46" s="337"/>
      <c r="I46" s="351"/>
      <c r="J46" s="337"/>
      <c r="K46" s="337"/>
      <c r="L46" s="337"/>
      <c r="M46" s="339"/>
    </row>
    <row r="47" spans="1:13" ht="12">
      <c r="A47" s="337"/>
      <c r="B47" s="337"/>
      <c r="C47" s="337"/>
      <c r="D47" s="337"/>
      <c r="E47" s="337"/>
      <c r="F47" s="337"/>
      <c r="G47" s="351"/>
      <c r="H47" s="337"/>
      <c r="I47" s="351"/>
      <c r="J47" s="337"/>
      <c r="K47" s="337"/>
      <c r="L47" s="337"/>
      <c r="M47" s="339"/>
    </row>
    <row r="48" spans="1:13" ht="12">
      <c r="A48" s="337"/>
      <c r="B48" s="337"/>
      <c r="C48" s="337" t="s">
        <v>147</v>
      </c>
      <c r="D48" s="337"/>
      <c r="E48" s="337"/>
      <c r="F48" s="337"/>
      <c r="G48" s="351"/>
      <c r="H48" s="351"/>
      <c r="I48" s="351"/>
      <c r="J48" s="337"/>
      <c r="K48" s="337"/>
      <c r="L48" s="337"/>
      <c r="M48" s="339"/>
    </row>
    <row r="49" spans="1:13" ht="12">
      <c r="A49" s="337"/>
      <c r="B49" s="865"/>
      <c r="C49" s="866"/>
      <c r="D49" s="866"/>
      <c r="E49" s="867"/>
      <c r="F49" s="337"/>
      <c r="G49" s="360"/>
      <c r="H49" s="351"/>
      <c r="I49" s="351"/>
      <c r="J49" s="337"/>
      <c r="K49" s="337"/>
      <c r="L49" s="337"/>
      <c r="M49" s="339"/>
    </row>
    <row r="50" spans="1:13" ht="12">
      <c r="A50" s="337"/>
      <c r="B50" s="875"/>
      <c r="C50" s="876"/>
      <c r="D50" s="876"/>
      <c r="E50" s="877"/>
      <c r="F50" s="337"/>
      <c r="G50" s="360"/>
      <c r="H50" s="351"/>
      <c r="I50" s="351"/>
      <c r="J50" s="337"/>
      <c r="K50" s="337"/>
      <c r="L50" s="337"/>
      <c r="M50" s="339"/>
    </row>
    <row r="51" spans="1:13" ht="12">
      <c r="A51" s="351"/>
      <c r="B51" s="875"/>
      <c r="C51" s="876"/>
      <c r="D51" s="876"/>
      <c r="E51" s="877"/>
      <c r="F51" s="337"/>
      <c r="G51" s="351"/>
      <c r="H51" s="351"/>
      <c r="I51" s="351"/>
      <c r="J51" s="337"/>
      <c r="K51" s="337"/>
      <c r="L51" s="337"/>
      <c r="M51" s="361"/>
    </row>
    <row r="52" spans="1:13" ht="12">
      <c r="A52" s="337"/>
      <c r="B52" s="875"/>
      <c r="C52" s="876"/>
      <c r="D52" s="876"/>
      <c r="E52" s="877"/>
      <c r="F52" s="337"/>
      <c r="G52" s="351"/>
      <c r="H52" s="351"/>
      <c r="I52" s="351"/>
      <c r="J52" s="337"/>
      <c r="K52" s="337"/>
      <c r="L52" s="337"/>
      <c r="M52" s="339"/>
    </row>
    <row r="53" spans="1:13" ht="12">
      <c r="A53" s="337"/>
      <c r="B53" s="875"/>
      <c r="C53" s="876"/>
      <c r="D53" s="876"/>
      <c r="E53" s="877"/>
      <c r="F53" s="337"/>
      <c r="G53" s="337"/>
      <c r="H53" s="337"/>
      <c r="I53" s="337"/>
      <c r="J53" s="337"/>
      <c r="K53" s="337"/>
      <c r="L53" s="337"/>
      <c r="M53" s="339"/>
    </row>
    <row r="54" spans="1:13" ht="12.75">
      <c r="A54" s="337"/>
      <c r="B54" s="872"/>
      <c r="C54" s="873"/>
      <c r="D54" s="873"/>
      <c r="E54" s="874"/>
      <c r="F54" s="351"/>
      <c r="G54" s="351"/>
      <c r="H54" s="337"/>
      <c r="I54" s="337"/>
      <c r="J54" s="337"/>
      <c r="K54" s="337"/>
      <c r="L54" s="337"/>
      <c r="M54" s="339"/>
    </row>
    <row r="55" spans="1:13" ht="12">
      <c r="A55" s="337"/>
      <c r="B55" s="362"/>
      <c r="C55" s="363"/>
      <c r="D55" s="357"/>
      <c r="E55" s="337"/>
      <c r="F55" s="351"/>
      <c r="G55" s="351"/>
      <c r="H55" s="337" t="s">
        <v>427</v>
      </c>
      <c r="I55" s="351"/>
      <c r="J55" s="519">
        <f ca="1">TODAY()</f>
        <v>45345</v>
      </c>
      <c r="K55" s="337"/>
      <c r="L55" s="337"/>
      <c r="M55" s="339"/>
    </row>
    <row r="56" spans="1:13" ht="12">
      <c r="A56" s="337"/>
      <c r="B56" s="362"/>
      <c r="C56" s="364"/>
      <c r="D56" s="357"/>
      <c r="E56" s="337"/>
      <c r="F56" s="351"/>
      <c r="G56" s="351"/>
      <c r="H56" s="337"/>
      <c r="I56" s="360"/>
      <c r="J56" s="337"/>
      <c r="K56" s="337"/>
      <c r="L56" s="337"/>
      <c r="M56" s="339"/>
    </row>
    <row r="57" spans="1:13" ht="12">
      <c r="A57" s="337"/>
      <c r="B57" s="337"/>
      <c r="C57" s="337"/>
      <c r="D57" s="337"/>
      <c r="E57" s="337"/>
      <c r="F57" s="351"/>
      <c r="G57" s="351"/>
      <c r="H57" s="337"/>
      <c r="I57" s="337"/>
      <c r="J57" s="337"/>
      <c r="K57" s="337"/>
      <c r="L57" s="337"/>
      <c r="M57" s="339"/>
    </row>
    <row r="58" spans="1:13" ht="12.75">
      <c r="A58" s="337"/>
      <c r="B58" s="365" t="s">
        <v>259</v>
      </c>
      <c r="C58" s="870">
        <f>SUM(FAKTA!C47)</f>
        <v>45292</v>
      </c>
      <c r="D58" s="820"/>
      <c r="E58" s="337"/>
      <c r="F58" s="337"/>
      <c r="G58" s="364" t="s">
        <v>494</v>
      </c>
      <c r="H58" s="337"/>
      <c r="I58" s="337"/>
      <c r="J58" s="337"/>
      <c r="K58" s="337"/>
      <c r="L58" s="337"/>
      <c r="M58" s="339"/>
    </row>
    <row r="59" spans="1:13" s="366" customFormat="1" ht="12">
      <c r="A59" s="553"/>
      <c r="B59" s="553"/>
      <c r="C59" s="553"/>
      <c r="D59" s="553"/>
      <c r="E59" s="553"/>
      <c r="F59" s="553"/>
      <c r="H59" s="553"/>
      <c r="I59" s="553"/>
      <c r="J59" s="553"/>
      <c r="K59" s="553"/>
      <c r="L59" s="553"/>
      <c r="M59" s="339"/>
    </row>
    <row r="60" spans="1:13" s="366" customFormat="1" ht="12">
      <c r="A60" s="553"/>
      <c r="B60" s="553"/>
      <c r="C60" s="553"/>
      <c r="D60" s="553"/>
      <c r="E60" s="553"/>
      <c r="F60" s="553"/>
      <c r="G60" s="553"/>
      <c r="H60" s="553"/>
      <c r="I60" s="553"/>
      <c r="J60" s="553"/>
      <c r="K60" s="553"/>
      <c r="L60" s="553"/>
      <c r="M60" s="339"/>
    </row>
    <row r="61" spans="1:13" ht="12">
      <c r="A61" s="366"/>
      <c r="B61" s="366"/>
      <c r="C61" s="366"/>
      <c r="D61" s="366"/>
      <c r="E61" s="366"/>
      <c r="F61" s="264"/>
      <c r="G61" s="264"/>
      <c r="H61" s="366"/>
      <c r="I61" s="366"/>
      <c r="J61" s="264"/>
      <c r="K61" s="264"/>
      <c r="L61" s="264"/>
      <c r="M61" s="264"/>
    </row>
    <row r="62" spans="1:9" ht="12">
      <c r="A62" s="366"/>
      <c r="B62" s="366"/>
      <c r="C62" s="366"/>
      <c r="D62" s="366"/>
      <c r="E62" s="366"/>
      <c r="F62" s="264"/>
      <c r="G62" s="264"/>
      <c r="H62" s="366"/>
      <c r="I62" s="366"/>
    </row>
    <row r="63" spans="1:9" ht="12">
      <c r="A63" s="366"/>
      <c r="B63" s="366"/>
      <c r="C63" s="366"/>
      <c r="D63" s="366"/>
      <c r="E63" s="366"/>
      <c r="F63" s="264"/>
      <c r="G63" s="264"/>
      <c r="H63" s="366"/>
      <c r="I63" s="366"/>
    </row>
    <row r="64" spans="1:9" ht="12">
      <c r="A64" s="366"/>
      <c r="B64" s="366"/>
      <c r="C64" s="366"/>
      <c r="D64" s="366"/>
      <c r="E64" s="366"/>
      <c r="F64" s="264"/>
      <c r="G64" s="264"/>
      <c r="H64" s="366"/>
      <c r="I64" s="366"/>
    </row>
    <row r="65" spans="1:9" ht="12">
      <c r="A65" s="366"/>
      <c r="B65" s="366"/>
      <c r="C65" s="366"/>
      <c r="D65" s="366"/>
      <c r="E65" s="366"/>
      <c r="F65" s="264"/>
      <c r="G65" s="264"/>
      <c r="H65" s="366"/>
      <c r="I65" s="366"/>
    </row>
    <row r="66" spans="1:13" ht="12">
      <c r="A66" s="264"/>
      <c r="B66" s="264"/>
      <c r="C66" s="264"/>
      <c r="D66" s="264"/>
      <c r="E66" s="264"/>
      <c r="F66" s="264"/>
      <c r="G66" s="264"/>
      <c r="H66" s="264"/>
      <c r="I66" s="264"/>
      <c r="J66" s="264"/>
      <c r="K66" s="264"/>
      <c r="L66" s="264"/>
      <c r="M66" s="264"/>
    </row>
    <row r="67" spans="6:7" ht="12">
      <c r="F67" s="358"/>
      <c r="G67" s="358"/>
    </row>
    <row r="68" spans="6:7" ht="12">
      <c r="F68" s="358"/>
      <c r="G68" s="358"/>
    </row>
    <row r="69" ht="12">
      <c r="G69" s="358"/>
    </row>
    <row r="70" ht="12">
      <c r="G70" s="358"/>
    </row>
  </sheetData>
  <sheetProtection password="C248" sheet="1"/>
  <mergeCells count="11">
    <mergeCell ref="B53:E53"/>
    <mergeCell ref="B8:D8"/>
    <mergeCell ref="B49:E49"/>
    <mergeCell ref="G9:H9"/>
    <mergeCell ref="C58:D58"/>
    <mergeCell ref="B4:E4"/>
    <mergeCell ref="B6:E6"/>
    <mergeCell ref="B54:E54"/>
    <mergeCell ref="B50:E50"/>
    <mergeCell ref="B51:E51"/>
    <mergeCell ref="B52:E52"/>
  </mergeCells>
  <conditionalFormatting sqref="E26:E30">
    <cfRule type="expression" priority="3" dxfId="1" stopIfTrue="1">
      <formula>B26=""</formula>
    </cfRule>
  </conditionalFormatting>
  <conditionalFormatting sqref="D26:D30">
    <cfRule type="expression" priority="4" dxfId="1" stopIfTrue="1">
      <formula>B26=""</formula>
    </cfRule>
  </conditionalFormatting>
  <conditionalFormatting sqref="E20:E25">
    <cfRule type="expression" priority="1" dxfId="1" stopIfTrue="1">
      <formula>B20=""</formula>
    </cfRule>
  </conditionalFormatting>
  <conditionalFormatting sqref="D20:D25">
    <cfRule type="expression" priority="2" dxfId="1" stopIfTrue="1">
      <formula>B20=""</formula>
    </cfRule>
  </conditionalFormatting>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42"/>
  </sheetPr>
  <dimension ref="A1:X116"/>
  <sheetViews>
    <sheetView zoomScalePageLayoutView="0" workbookViewId="0" topLeftCell="A40">
      <selection activeCell="M67" sqref="M67"/>
    </sheetView>
  </sheetViews>
  <sheetFormatPr defaultColWidth="9.140625" defaultRowHeight="12.75"/>
  <cols>
    <col min="1" max="1" width="4.57421875" style="0" customWidth="1"/>
    <col min="2" max="2" width="7.57421875" style="0" customWidth="1"/>
    <col min="3" max="3" width="5.57421875" style="0" customWidth="1"/>
    <col min="4" max="4" width="9.57421875" style="0" bestFit="1" customWidth="1"/>
    <col min="5" max="5" width="6.57421875" style="0" customWidth="1"/>
    <col min="6" max="6" width="5.8515625" style="69" customWidth="1"/>
    <col min="7" max="7" width="5.57421875" style="0" customWidth="1"/>
    <col min="8" max="8" width="6.57421875" style="0" customWidth="1"/>
    <col min="9" max="9" width="5.421875" style="0" customWidth="1"/>
    <col min="10" max="10" width="5.8515625" style="0" customWidth="1"/>
    <col min="11" max="11" width="0.9921875" style="0" customWidth="1"/>
    <col min="12" max="12" width="8.140625" style="0" customWidth="1"/>
    <col min="13" max="13" width="11.57421875" style="0" customWidth="1"/>
    <col min="14" max="14" width="8.8515625" style="0" customWidth="1"/>
    <col min="15" max="15" width="0" style="0" hidden="1" customWidth="1"/>
    <col min="16" max="16" width="9.421875" style="0" hidden="1" customWidth="1"/>
    <col min="17" max="17" width="11.57421875" style="0" hidden="1" customWidth="1"/>
    <col min="18" max="19" width="0" style="0" hidden="1" customWidth="1"/>
    <col min="22" max="22" width="10.140625" style="0" bestFit="1" customWidth="1"/>
    <col min="24" max="24" width="10.140625" style="0" bestFit="1" customWidth="1"/>
  </cols>
  <sheetData>
    <row r="1" spans="1:22" ht="12.75">
      <c r="A1" s="5"/>
      <c r="B1" s="6"/>
      <c r="C1" s="6"/>
      <c r="D1" s="9" t="s">
        <v>58</v>
      </c>
      <c r="E1" s="88" t="s">
        <v>12</v>
      </c>
      <c r="F1" s="90"/>
      <c r="G1" s="9" t="s">
        <v>38</v>
      </c>
      <c r="H1" s="9"/>
      <c r="I1" s="79" t="s">
        <v>56</v>
      </c>
      <c r="J1" s="244" t="s">
        <v>213</v>
      </c>
      <c r="K1" s="100"/>
      <c r="L1" s="71" t="s">
        <v>19</v>
      </c>
      <c r="M1" s="76"/>
      <c r="N1" s="100">
        <f>IF(M2="","",LOOKUP(M2,L55:L57,M55:M57))</f>
      </c>
      <c r="V1" s="615"/>
    </row>
    <row r="2" spans="1:14" ht="12.75">
      <c r="A2" s="7"/>
      <c r="B2" s="10" t="s">
        <v>51</v>
      </c>
      <c r="C2" s="10" t="s">
        <v>52</v>
      </c>
      <c r="D2" s="10" t="s">
        <v>57</v>
      </c>
      <c r="E2" s="89" t="s">
        <v>13</v>
      </c>
      <c r="F2" s="91"/>
      <c r="G2" s="10" t="s">
        <v>60</v>
      </c>
      <c r="H2" s="75" t="s">
        <v>54</v>
      </c>
      <c r="I2" s="75" t="s">
        <v>60</v>
      </c>
      <c r="J2" s="60" t="s">
        <v>214</v>
      </c>
      <c r="K2" s="1"/>
      <c r="L2" s="77" t="s">
        <v>20</v>
      </c>
      <c r="M2" s="78">
        <f>IF(N2="","",YEAR(N2))</f>
      </c>
      <c r="N2" s="92">
        <f>IF(FAKTA!K5="","",SUM(FAKTA!K5))</f>
      </c>
    </row>
    <row r="3" spans="1:14" ht="12.75">
      <c r="A3" s="11" t="s">
        <v>1</v>
      </c>
      <c r="B3" s="10" t="s">
        <v>10</v>
      </c>
      <c r="C3" s="12" t="s">
        <v>53</v>
      </c>
      <c r="D3" s="12" t="s">
        <v>59</v>
      </c>
      <c r="E3" s="89" t="s">
        <v>14</v>
      </c>
      <c r="F3" s="219" t="s">
        <v>1</v>
      </c>
      <c r="G3" s="125" t="s">
        <v>61</v>
      </c>
      <c r="H3" s="220" t="s">
        <v>55</v>
      </c>
      <c r="I3" s="220" t="s">
        <v>61</v>
      </c>
      <c r="J3" s="221" t="s">
        <v>61</v>
      </c>
      <c r="K3" s="1"/>
      <c r="L3" s="373" t="s">
        <v>4</v>
      </c>
      <c r="M3" s="122"/>
      <c r="N3" s="133"/>
    </row>
    <row r="4" spans="1:14" ht="12.75">
      <c r="A4" s="71">
        <v>1960</v>
      </c>
      <c r="B4" s="112">
        <v>6.54</v>
      </c>
      <c r="C4" s="70"/>
      <c r="D4" s="97"/>
      <c r="E4" s="111"/>
      <c r="F4" s="86">
        <v>1960</v>
      </c>
      <c r="G4" s="114">
        <v>4200</v>
      </c>
      <c r="H4" s="13">
        <f aca="true" t="shared" si="0" ref="H4:H42">SUM(G4*7.5)</f>
        <v>31500</v>
      </c>
      <c r="I4" s="117">
        <v>4200</v>
      </c>
      <c r="J4" s="233"/>
      <c r="K4" s="1"/>
      <c r="L4" s="132"/>
      <c r="M4" s="374">
        <v>65</v>
      </c>
      <c r="N4" s="376">
        <v>17.1</v>
      </c>
    </row>
    <row r="5" spans="1:14" ht="12.75">
      <c r="A5" s="72">
        <v>1961</v>
      </c>
      <c r="B5" s="113">
        <v>6.98</v>
      </c>
      <c r="C5" s="12">
        <f aca="true" t="shared" si="1" ref="C5:C36">IF(B5="","",SUM(B5-B4))</f>
        <v>0.4400000000000004</v>
      </c>
      <c r="D5" s="98">
        <f aca="true" t="shared" si="2" ref="D5:D36">IF(C6="","",SUM(C6/B5))</f>
        <v>0.06733524355300856</v>
      </c>
      <c r="E5" s="110">
        <f>IF(B5="","",SUM(B6/B5))</f>
        <v>1.0673352435530086</v>
      </c>
      <c r="F5" s="86">
        <v>1961</v>
      </c>
      <c r="G5" s="114">
        <v>4300</v>
      </c>
      <c r="H5" s="13">
        <f t="shared" si="0"/>
        <v>32250</v>
      </c>
      <c r="I5" s="117">
        <v>4300</v>
      </c>
      <c r="J5" s="233"/>
      <c r="K5" s="1"/>
      <c r="L5" s="132"/>
      <c r="M5" s="375">
        <v>66</v>
      </c>
      <c r="N5" s="376">
        <v>16.5</v>
      </c>
    </row>
    <row r="6" spans="1:14" ht="12.75">
      <c r="A6" s="72">
        <v>1962</v>
      </c>
      <c r="B6" s="113">
        <v>7.45</v>
      </c>
      <c r="C6" s="12">
        <f t="shared" si="1"/>
        <v>0.46999999999999975</v>
      </c>
      <c r="D6" s="98">
        <f t="shared" si="2"/>
        <v>0.07114093959731546</v>
      </c>
      <c r="E6" s="110">
        <f aca="true" t="shared" si="3" ref="E6:E69">IF(B6="","",SUM(B7/B6))</f>
        <v>1.0711409395973155</v>
      </c>
      <c r="F6" s="86">
        <v>1962</v>
      </c>
      <c r="G6" s="114">
        <v>4500</v>
      </c>
      <c r="H6" s="13">
        <f t="shared" si="0"/>
        <v>33750</v>
      </c>
      <c r="I6" s="117">
        <v>4500</v>
      </c>
      <c r="J6" s="233"/>
      <c r="K6" s="1"/>
      <c r="L6" s="132"/>
      <c r="M6" s="375">
        <v>67</v>
      </c>
      <c r="N6" s="376">
        <v>15.9</v>
      </c>
    </row>
    <row r="7" spans="1:14" ht="12.75">
      <c r="A7" s="72">
        <v>1963</v>
      </c>
      <c r="B7" s="113">
        <v>7.98</v>
      </c>
      <c r="C7" s="12">
        <f t="shared" si="1"/>
        <v>0.5300000000000002</v>
      </c>
      <c r="D7" s="98">
        <f t="shared" si="2"/>
        <v>0.058897243107769275</v>
      </c>
      <c r="E7" s="110">
        <f t="shared" si="3"/>
        <v>1.0588972431077692</v>
      </c>
      <c r="F7" s="86">
        <v>1963</v>
      </c>
      <c r="G7" s="114">
        <v>4700</v>
      </c>
      <c r="H7" s="13">
        <f t="shared" si="0"/>
        <v>35250</v>
      </c>
      <c r="I7" s="117">
        <v>4700</v>
      </c>
      <c r="J7" s="233"/>
      <c r="K7" s="1"/>
      <c r="L7" s="132"/>
      <c r="M7" s="375">
        <v>68</v>
      </c>
      <c r="N7" s="376">
        <v>15.3</v>
      </c>
    </row>
    <row r="8" spans="1:14" ht="12.75">
      <c r="A8" s="72">
        <v>1964</v>
      </c>
      <c r="B8" s="113">
        <v>8.45</v>
      </c>
      <c r="C8" s="12">
        <f t="shared" si="1"/>
        <v>0.46999999999999886</v>
      </c>
      <c r="D8" s="98">
        <f t="shared" si="2"/>
        <v>0.06627218934911248</v>
      </c>
      <c r="E8" s="110">
        <f t="shared" si="3"/>
        <v>1.0662721893491125</v>
      </c>
      <c r="F8" s="86">
        <v>1964</v>
      </c>
      <c r="G8" s="114">
        <v>4800</v>
      </c>
      <c r="H8" s="13">
        <f t="shared" si="0"/>
        <v>36000</v>
      </c>
      <c r="I8" s="117">
        <v>4800</v>
      </c>
      <c r="J8" s="233"/>
      <c r="K8" s="1"/>
      <c r="L8" s="132"/>
      <c r="M8" s="375">
        <v>69</v>
      </c>
      <c r="N8" s="376">
        <v>14.7</v>
      </c>
    </row>
    <row r="9" spans="1:14" ht="12.75">
      <c r="A9" s="72">
        <v>1965</v>
      </c>
      <c r="B9" s="113">
        <v>9.01</v>
      </c>
      <c r="C9" s="12">
        <f t="shared" si="1"/>
        <v>0.5600000000000005</v>
      </c>
      <c r="D9" s="98">
        <f t="shared" si="2"/>
        <v>0.08213096559378472</v>
      </c>
      <c r="E9" s="110">
        <f t="shared" si="3"/>
        <v>1.0821309655937847</v>
      </c>
      <c r="F9" s="86">
        <v>1965</v>
      </c>
      <c r="G9" s="114">
        <v>5000</v>
      </c>
      <c r="H9" s="13">
        <f t="shared" si="0"/>
        <v>37500</v>
      </c>
      <c r="I9" s="117">
        <v>5000</v>
      </c>
      <c r="J9" s="233"/>
      <c r="K9" s="1"/>
      <c r="L9" s="132"/>
      <c r="M9" s="375">
        <v>70</v>
      </c>
      <c r="N9" s="376">
        <v>14.2</v>
      </c>
    </row>
    <row r="10" spans="1:14" ht="12.75">
      <c r="A10" s="72">
        <v>1966</v>
      </c>
      <c r="B10" s="113">
        <v>9.75</v>
      </c>
      <c r="C10" s="12">
        <f t="shared" si="1"/>
        <v>0.7400000000000002</v>
      </c>
      <c r="D10" s="98">
        <f t="shared" si="2"/>
        <v>0.10564102564102558</v>
      </c>
      <c r="E10" s="110">
        <f t="shared" si="3"/>
        <v>1.1056410256410256</v>
      </c>
      <c r="F10" s="86">
        <v>1966</v>
      </c>
      <c r="G10" s="114">
        <v>5300</v>
      </c>
      <c r="H10" s="13">
        <f t="shared" si="0"/>
        <v>39750</v>
      </c>
      <c r="I10" s="117">
        <v>5300</v>
      </c>
      <c r="J10" s="233"/>
      <c r="K10" s="1"/>
      <c r="L10" s="132"/>
      <c r="M10" s="375">
        <v>71</v>
      </c>
      <c r="N10" s="376">
        <v>13.6</v>
      </c>
    </row>
    <row r="11" spans="1:14" ht="12.75">
      <c r="A11" s="72">
        <v>1967</v>
      </c>
      <c r="B11" s="113">
        <v>10.78</v>
      </c>
      <c r="C11" s="12">
        <f t="shared" si="1"/>
        <v>1.0299999999999994</v>
      </c>
      <c r="D11" s="98">
        <f t="shared" si="2"/>
        <v>0.05751391465677189</v>
      </c>
      <c r="E11" s="110">
        <f t="shared" si="3"/>
        <v>1.0575139146567718</v>
      </c>
      <c r="F11" s="86">
        <v>1967</v>
      </c>
      <c r="G11" s="114">
        <v>5500</v>
      </c>
      <c r="H11" s="13">
        <f t="shared" si="0"/>
        <v>41250</v>
      </c>
      <c r="I11" s="117">
        <v>5500</v>
      </c>
      <c r="J11" s="233"/>
      <c r="K11" s="1"/>
      <c r="L11" s="132"/>
      <c r="M11" s="375">
        <v>72</v>
      </c>
      <c r="N11" s="376">
        <v>13</v>
      </c>
    </row>
    <row r="12" spans="1:14" ht="12.75">
      <c r="A12" s="72">
        <v>1968</v>
      </c>
      <c r="B12" s="113">
        <v>11.4</v>
      </c>
      <c r="C12" s="12">
        <f t="shared" si="1"/>
        <v>0.620000000000001</v>
      </c>
      <c r="D12" s="98">
        <f t="shared" si="2"/>
        <v>0.036842105263157884</v>
      </c>
      <c r="E12" s="110">
        <f t="shared" si="3"/>
        <v>1.0368421052631578</v>
      </c>
      <c r="F12" s="86">
        <v>1968</v>
      </c>
      <c r="G12" s="114">
        <v>5700</v>
      </c>
      <c r="H12" s="13">
        <f t="shared" si="0"/>
        <v>42750</v>
      </c>
      <c r="I12" s="117">
        <v>5700</v>
      </c>
      <c r="J12" s="233"/>
      <c r="K12" s="1"/>
      <c r="L12" s="132"/>
      <c r="M12" s="375">
        <v>73</v>
      </c>
      <c r="N12" s="376">
        <v>12.4</v>
      </c>
    </row>
    <row r="13" spans="1:15" ht="12.75">
      <c r="A13" s="72">
        <v>1969</v>
      </c>
      <c r="B13" s="113">
        <v>11.82</v>
      </c>
      <c r="C13" s="12">
        <f t="shared" si="1"/>
        <v>0.41999999999999993</v>
      </c>
      <c r="D13" s="98">
        <f t="shared" si="2"/>
        <v>0.04737732656514387</v>
      </c>
      <c r="E13" s="110">
        <f t="shared" si="3"/>
        <v>1.0473773265651438</v>
      </c>
      <c r="F13" s="86">
        <v>1969</v>
      </c>
      <c r="G13" s="114">
        <v>5800</v>
      </c>
      <c r="H13" s="13">
        <f t="shared" si="0"/>
        <v>43500</v>
      </c>
      <c r="I13" s="117">
        <v>5800</v>
      </c>
      <c r="J13" s="233"/>
      <c r="K13" s="1"/>
      <c r="L13" s="132"/>
      <c r="M13" s="375">
        <v>74</v>
      </c>
      <c r="N13" s="376">
        <v>11.8</v>
      </c>
      <c r="O13" s="218"/>
    </row>
    <row r="14" spans="1:24" ht="12.75">
      <c r="A14" s="72">
        <v>1970</v>
      </c>
      <c r="B14" s="113">
        <v>12.38</v>
      </c>
      <c r="C14" s="12">
        <f t="shared" si="1"/>
        <v>0.5600000000000005</v>
      </c>
      <c r="D14" s="98">
        <f t="shared" si="2"/>
        <v>0.08966074313408719</v>
      </c>
      <c r="E14" s="110">
        <f t="shared" si="3"/>
        <v>1.0896607431340872</v>
      </c>
      <c r="F14" s="86">
        <v>1970</v>
      </c>
      <c r="G14" s="114">
        <v>6000</v>
      </c>
      <c r="H14" s="13">
        <f t="shared" si="0"/>
        <v>45000</v>
      </c>
      <c r="I14" s="117">
        <v>6000</v>
      </c>
      <c r="J14" s="233"/>
      <c r="K14" s="1"/>
      <c r="L14" s="132"/>
      <c r="M14" s="375">
        <v>75</v>
      </c>
      <c r="N14" s="376">
        <v>11.2</v>
      </c>
      <c r="U14" s="102"/>
      <c r="V14" s="599"/>
      <c r="W14" s="102"/>
      <c r="X14" s="599"/>
    </row>
    <row r="15" spans="1:24" ht="12.75">
      <c r="A15" s="72">
        <v>1971</v>
      </c>
      <c r="B15" s="113">
        <v>13.49</v>
      </c>
      <c r="C15" s="12">
        <f t="shared" si="1"/>
        <v>1.1099999999999994</v>
      </c>
      <c r="D15" s="98">
        <f t="shared" si="2"/>
        <v>0.07487027427724238</v>
      </c>
      <c r="E15" s="110">
        <f t="shared" si="3"/>
        <v>1.0748702742772425</v>
      </c>
      <c r="F15" s="86">
        <v>1971</v>
      </c>
      <c r="G15" s="114">
        <v>6400</v>
      </c>
      <c r="H15" s="13">
        <f t="shared" si="0"/>
        <v>48000</v>
      </c>
      <c r="I15" s="117">
        <v>6400</v>
      </c>
      <c r="J15" s="233"/>
      <c r="K15" s="1"/>
      <c r="L15" s="132" t="s">
        <v>479</v>
      </c>
      <c r="M15" s="598">
        <f>IF(FAKTA!K5="","",FAKTA!K5)</f>
      </c>
      <c r="N15" s="533"/>
      <c r="U15" s="102"/>
      <c r="V15" s="102"/>
      <c r="W15" s="102"/>
      <c r="X15" s="102"/>
    </row>
    <row r="16" spans="1:24" ht="12.75">
      <c r="A16" s="72">
        <v>1972</v>
      </c>
      <c r="B16" s="113">
        <v>14.5</v>
      </c>
      <c r="C16" s="12">
        <f t="shared" si="1"/>
        <v>1.0099999999999998</v>
      </c>
      <c r="D16" s="98">
        <f t="shared" si="2"/>
        <v>0.076551724137931</v>
      </c>
      <c r="E16" s="110">
        <f t="shared" si="3"/>
        <v>1.076551724137931</v>
      </c>
      <c r="F16" s="86">
        <v>1972</v>
      </c>
      <c r="G16" s="114">
        <v>7100</v>
      </c>
      <c r="H16" s="13">
        <f t="shared" si="0"/>
        <v>53250</v>
      </c>
      <c r="I16" s="117">
        <v>7100</v>
      </c>
      <c r="J16" s="233"/>
      <c r="K16" s="1"/>
      <c r="L16" s="124" t="s">
        <v>480</v>
      </c>
      <c r="M16" s="597">
        <f>IF(M2="","",N1)</f>
      </c>
      <c r="N16" s="397">
        <f>IF(M2="","",YEAR(N17))</f>
      </c>
      <c r="U16" s="102"/>
      <c r="V16" s="102"/>
      <c r="W16" s="102"/>
      <c r="X16" s="102"/>
    </row>
    <row r="17" spans="1:24" ht="12.75">
      <c r="A17" s="72">
        <v>1973</v>
      </c>
      <c r="B17" s="113">
        <v>15.61</v>
      </c>
      <c r="C17" s="12">
        <f t="shared" si="1"/>
        <v>1.1099999999999994</v>
      </c>
      <c r="D17" s="98">
        <f t="shared" si="2"/>
        <v>0.07559256886611145</v>
      </c>
      <c r="E17" s="110">
        <f t="shared" si="3"/>
        <v>1.0755925688661114</v>
      </c>
      <c r="F17" s="86">
        <v>1973</v>
      </c>
      <c r="G17" s="114">
        <v>7300</v>
      </c>
      <c r="H17" s="13">
        <f t="shared" si="0"/>
        <v>54750</v>
      </c>
      <c r="I17" s="117">
        <v>7300</v>
      </c>
      <c r="J17" s="233"/>
      <c r="K17" s="1"/>
      <c r="L17" s="878">
        <f>SUM(M16)</f>
        <v>0</v>
      </c>
      <c r="M17" s="879"/>
      <c r="N17" s="93">
        <f>IF(N2="","",SUM(FAKTA!K5+M16*365.25))</f>
      </c>
      <c r="U17" s="102"/>
      <c r="V17" s="599"/>
      <c r="W17" s="102"/>
      <c r="X17" s="600"/>
    </row>
    <row r="18" spans="1:24" ht="12.75">
      <c r="A18" s="72">
        <v>1974</v>
      </c>
      <c r="B18" s="113">
        <v>16.79</v>
      </c>
      <c r="C18" s="12">
        <f t="shared" si="1"/>
        <v>1.1799999999999997</v>
      </c>
      <c r="D18" s="98">
        <f t="shared" si="2"/>
        <v>0.09886837403216202</v>
      </c>
      <c r="E18" s="110">
        <f t="shared" si="3"/>
        <v>1.098868374032162</v>
      </c>
      <c r="F18" s="86">
        <v>1974</v>
      </c>
      <c r="G18" s="114">
        <v>8100</v>
      </c>
      <c r="H18" s="13">
        <f t="shared" si="0"/>
        <v>60750</v>
      </c>
      <c r="I18" s="117">
        <v>8100</v>
      </c>
      <c r="J18" s="233"/>
      <c r="K18" s="1"/>
      <c r="L18" s="77" t="s">
        <v>79</v>
      </c>
      <c r="M18" s="78"/>
      <c r="N18" s="60">
        <f>IF(N17="","",DATE(YEAR(N17),MONTH(N17),0))</f>
      </c>
      <c r="U18" s="102"/>
      <c r="V18" s="102"/>
      <c r="W18" s="102"/>
      <c r="X18" s="102"/>
    </row>
    <row r="19" spans="1:24" ht="12.75">
      <c r="A19" s="72">
        <v>1975</v>
      </c>
      <c r="B19" s="113">
        <v>18.45</v>
      </c>
      <c r="C19" s="12">
        <f t="shared" si="1"/>
        <v>1.6600000000000001</v>
      </c>
      <c r="D19" s="98">
        <f t="shared" si="2"/>
        <v>0.1289972899728997</v>
      </c>
      <c r="E19" s="110">
        <f t="shared" si="3"/>
        <v>1.1289972899728997</v>
      </c>
      <c r="F19" s="86">
        <v>1975</v>
      </c>
      <c r="G19" s="114">
        <v>9000</v>
      </c>
      <c r="H19" s="13">
        <f t="shared" si="0"/>
        <v>67500</v>
      </c>
      <c r="I19" s="117">
        <v>9000</v>
      </c>
      <c r="J19" s="233"/>
      <c r="K19" s="1"/>
      <c r="L19" s="77" t="s">
        <v>481</v>
      </c>
      <c r="M19" s="78"/>
      <c r="N19" s="94">
        <f>IF(N17="","",SUM(N18))</f>
      </c>
      <c r="U19" s="102"/>
      <c r="V19" s="599"/>
      <c r="W19" s="102"/>
      <c r="X19" s="599"/>
    </row>
    <row r="20" spans="1:24" ht="12.75">
      <c r="A20" s="72">
        <v>1976</v>
      </c>
      <c r="B20" s="113">
        <v>20.83</v>
      </c>
      <c r="C20" s="12">
        <f t="shared" si="1"/>
        <v>2.379999999999999</v>
      </c>
      <c r="D20" s="98">
        <f t="shared" si="2"/>
        <v>0.14258281325012015</v>
      </c>
      <c r="E20" s="110">
        <f t="shared" si="3"/>
        <v>1.1425828132501201</v>
      </c>
      <c r="F20" s="86">
        <v>1976</v>
      </c>
      <c r="G20" s="114">
        <v>9700</v>
      </c>
      <c r="H20" s="13">
        <f t="shared" si="0"/>
        <v>72750</v>
      </c>
      <c r="I20" s="117">
        <v>9700</v>
      </c>
      <c r="J20" s="233"/>
      <c r="K20" s="1"/>
      <c r="L20" s="77"/>
      <c r="M20" s="78"/>
      <c r="N20" s="95">
        <v>19725</v>
      </c>
      <c r="U20" s="102"/>
      <c r="V20" s="599"/>
      <c r="W20" s="102"/>
      <c r="X20" s="599"/>
    </row>
    <row r="21" spans="1:24" ht="12.75">
      <c r="A21" s="72">
        <v>1977</v>
      </c>
      <c r="B21" s="113">
        <v>23.8</v>
      </c>
      <c r="C21" s="12">
        <f t="shared" si="1"/>
        <v>2.9700000000000024</v>
      </c>
      <c r="D21" s="98">
        <f t="shared" si="2"/>
        <v>0.12268907563025203</v>
      </c>
      <c r="E21" s="110">
        <f t="shared" si="3"/>
        <v>1.122689075630252</v>
      </c>
      <c r="F21" s="86">
        <v>1977</v>
      </c>
      <c r="G21" s="114">
        <v>10700</v>
      </c>
      <c r="H21" s="13">
        <f t="shared" si="0"/>
        <v>80250</v>
      </c>
      <c r="I21" s="117">
        <v>10700</v>
      </c>
      <c r="J21" s="233"/>
      <c r="K21" s="1"/>
      <c r="L21" s="77" t="s">
        <v>482</v>
      </c>
      <c r="M21" s="78"/>
      <c r="N21" s="129">
        <f>IF(N17="","",SUM(N19-FAKTA!N5)/365.25)</f>
      </c>
      <c r="U21" s="102"/>
      <c r="V21" s="601"/>
      <c r="W21" s="102"/>
      <c r="X21" s="601"/>
    </row>
    <row r="22" spans="1:24" ht="12.75">
      <c r="A22" s="72">
        <v>1978</v>
      </c>
      <c r="B22" s="113">
        <v>26.72</v>
      </c>
      <c r="C22" s="12">
        <f t="shared" si="1"/>
        <v>2.919999999999998</v>
      </c>
      <c r="D22" s="98">
        <f t="shared" si="2"/>
        <v>0.08532934131736532</v>
      </c>
      <c r="E22" s="110">
        <f t="shared" si="3"/>
        <v>1.0853293413173652</v>
      </c>
      <c r="F22" s="86">
        <v>1978</v>
      </c>
      <c r="G22" s="114">
        <v>11800</v>
      </c>
      <c r="H22" s="13">
        <f t="shared" si="0"/>
        <v>88500</v>
      </c>
      <c r="I22" s="117">
        <v>11800</v>
      </c>
      <c r="J22" s="233"/>
      <c r="K22" s="1"/>
      <c r="L22" s="124" t="s">
        <v>83</v>
      </c>
      <c r="M22" s="122"/>
      <c r="N22" s="60">
        <f>IF(N18="","",ROUND(N21,1))</f>
      </c>
      <c r="U22" s="102"/>
      <c r="V22" s="602"/>
      <c r="W22" s="102"/>
      <c r="X22" s="602"/>
    </row>
    <row r="23" spans="1:24" ht="12.75">
      <c r="A23" s="72">
        <v>1979</v>
      </c>
      <c r="B23" s="113">
        <v>29</v>
      </c>
      <c r="C23" s="12">
        <f t="shared" si="1"/>
        <v>2.280000000000001</v>
      </c>
      <c r="D23" s="98">
        <f t="shared" si="2"/>
        <v>0.06241379310344823</v>
      </c>
      <c r="E23" s="110">
        <f t="shared" si="3"/>
        <v>1.0624137931034483</v>
      </c>
      <c r="F23" s="86">
        <v>1979</v>
      </c>
      <c r="G23" s="114">
        <v>13100</v>
      </c>
      <c r="H23" s="13">
        <f t="shared" si="0"/>
        <v>98250</v>
      </c>
      <c r="I23" s="117">
        <v>13100</v>
      </c>
      <c r="J23" s="233"/>
      <c r="K23" s="1"/>
      <c r="L23" s="77" t="s">
        <v>352</v>
      </c>
      <c r="M23" s="78"/>
      <c r="N23" s="60">
        <f>IF(N2="","",MONTH(N19))</f>
      </c>
      <c r="U23" s="102"/>
      <c r="V23" s="602"/>
      <c r="W23" s="102"/>
      <c r="X23" s="602"/>
    </row>
    <row r="24" spans="1:24" ht="12.75">
      <c r="A24" s="72">
        <v>1980</v>
      </c>
      <c r="B24" s="113">
        <v>30.81</v>
      </c>
      <c r="C24" s="12">
        <f t="shared" si="1"/>
        <v>1.8099999999999987</v>
      </c>
      <c r="D24" s="98">
        <f t="shared" si="2"/>
        <v>0.1239857189224279</v>
      </c>
      <c r="E24" s="110">
        <f t="shared" si="3"/>
        <v>1.1239857189224278</v>
      </c>
      <c r="F24" s="86">
        <v>1980</v>
      </c>
      <c r="G24" s="114">
        <v>13900</v>
      </c>
      <c r="H24" s="13">
        <f t="shared" si="0"/>
        <v>104250</v>
      </c>
      <c r="I24" s="117">
        <v>13900</v>
      </c>
      <c r="J24" s="233"/>
      <c r="K24" s="1"/>
      <c r="L24" s="130" t="s">
        <v>353</v>
      </c>
      <c r="M24" s="398"/>
      <c r="N24" s="399">
        <f>IF(N2="","",SUM(N23/12))</f>
      </c>
      <c r="U24" s="102"/>
      <c r="V24" s="603"/>
      <c r="W24" s="102"/>
      <c r="X24" s="102"/>
    </row>
    <row r="25" spans="1:24" ht="12.75">
      <c r="A25" s="72">
        <v>1981</v>
      </c>
      <c r="B25" s="113">
        <v>34.63</v>
      </c>
      <c r="C25" s="12">
        <f t="shared" si="1"/>
        <v>3.820000000000004</v>
      </c>
      <c r="D25" s="98">
        <f t="shared" si="2"/>
        <v>0.11695062084897478</v>
      </c>
      <c r="E25" s="110">
        <f t="shared" si="3"/>
        <v>1.1169506208489748</v>
      </c>
      <c r="F25" s="86">
        <v>1981</v>
      </c>
      <c r="G25" s="114">
        <v>16100</v>
      </c>
      <c r="H25" s="13">
        <f t="shared" si="0"/>
        <v>120750</v>
      </c>
      <c r="I25" s="117">
        <v>16100</v>
      </c>
      <c r="J25" s="233"/>
      <c r="K25" s="1"/>
      <c r="L25" s="77" t="s">
        <v>80</v>
      </c>
      <c r="M25" s="121"/>
      <c r="N25" s="93">
        <f>IF(N2="","",SUM(FAKTA!K5+70*365.25))</f>
      </c>
      <c r="U25" s="102"/>
      <c r="V25" s="599"/>
      <c r="W25" s="102"/>
      <c r="X25" s="599"/>
    </row>
    <row r="26" spans="1:24" ht="12.75">
      <c r="A26" s="72">
        <v>1982</v>
      </c>
      <c r="B26" s="113">
        <v>38.68</v>
      </c>
      <c r="C26" s="12">
        <f t="shared" si="1"/>
        <v>4.049999999999997</v>
      </c>
      <c r="D26" s="98">
        <f t="shared" si="2"/>
        <v>0.057135470527404364</v>
      </c>
      <c r="E26" s="110">
        <f t="shared" si="3"/>
        <v>1.0571354705274043</v>
      </c>
      <c r="F26" s="86">
        <v>1982</v>
      </c>
      <c r="G26" s="114">
        <v>17800</v>
      </c>
      <c r="H26" s="13">
        <f t="shared" si="0"/>
        <v>133500</v>
      </c>
      <c r="I26" s="117">
        <v>17800</v>
      </c>
      <c r="J26" s="233"/>
      <c r="K26" s="1"/>
      <c r="L26" s="77" t="s">
        <v>79</v>
      </c>
      <c r="M26" s="121"/>
      <c r="N26" s="126">
        <f>IF(N25="","",DATE(YEAR(N25),MONTH(N25),0))</f>
      </c>
      <c r="U26" s="102"/>
      <c r="V26" s="102"/>
      <c r="W26" s="102"/>
      <c r="X26" s="102"/>
    </row>
    <row r="27" spans="1:24" ht="12.75">
      <c r="A27" s="72">
        <v>1983</v>
      </c>
      <c r="B27" s="113">
        <v>40.89</v>
      </c>
      <c r="C27" s="12">
        <f t="shared" si="1"/>
        <v>2.210000000000001</v>
      </c>
      <c r="D27" s="98">
        <f t="shared" si="2"/>
        <v>0.07141110295915876</v>
      </c>
      <c r="E27" s="110">
        <f t="shared" si="3"/>
        <v>1.0714111029591589</v>
      </c>
      <c r="F27" s="86">
        <v>1983</v>
      </c>
      <c r="G27" s="114">
        <v>19400</v>
      </c>
      <c r="H27" s="13">
        <f t="shared" si="0"/>
        <v>145500</v>
      </c>
      <c r="I27" s="117">
        <v>19400</v>
      </c>
      <c r="J27" s="233"/>
      <c r="K27" s="1"/>
      <c r="L27" s="123" t="s">
        <v>81</v>
      </c>
      <c r="M27" s="118"/>
      <c r="N27" s="93">
        <f>IF(N25="","",SUM(N26))</f>
      </c>
      <c r="U27" s="102"/>
      <c r="V27" s="599"/>
      <c r="W27" s="102"/>
      <c r="X27" s="599"/>
    </row>
    <row r="28" spans="1:24" ht="12.75">
      <c r="A28" s="72">
        <v>1984</v>
      </c>
      <c r="B28" s="113">
        <v>43.81</v>
      </c>
      <c r="C28" s="12">
        <f t="shared" si="1"/>
        <v>2.9200000000000017</v>
      </c>
      <c r="D28" s="98">
        <f t="shared" si="2"/>
        <v>0.07349920109564023</v>
      </c>
      <c r="E28" s="110">
        <f t="shared" si="3"/>
        <v>1.0734992010956403</v>
      </c>
      <c r="F28" s="86">
        <v>1984</v>
      </c>
      <c r="G28" s="114">
        <v>20300</v>
      </c>
      <c r="H28" s="13">
        <f t="shared" si="0"/>
        <v>152250</v>
      </c>
      <c r="I28" s="117">
        <v>20300</v>
      </c>
      <c r="J28" s="233"/>
      <c r="K28" s="1"/>
      <c r="L28" s="11" t="s">
        <v>82</v>
      </c>
      <c r="M28" s="10"/>
      <c r="N28" s="534">
        <f>IF(N25="","",SUM(N27-FAKTA!N5)/365.25)</f>
      </c>
      <c r="U28" s="102"/>
      <c r="V28" s="102"/>
      <c r="W28" s="102"/>
      <c r="X28" s="102"/>
    </row>
    <row r="29" spans="1:24" ht="12.75">
      <c r="A29" s="72">
        <v>1985</v>
      </c>
      <c r="B29" s="113">
        <v>47.03</v>
      </c>
      <c r="C29" s="12">
        <f t="shared" si="1"/>
        <v>3.219999999999999</v>
      </c>
      <c r="D29" s="98">
        <f t="shared" si="2"/>
        <v>0.07782266638315961</v>
      </c>
      <c r="E29" s="110">
        <f t="shared" si="3"/>
        <v>1.0778226663831596</v>
      </c>
      <c r="F29" s="86">
        <v>1985</v>
      </c>
      <c r="G29" s="114">
        <v>21800</v>
      </c>
      <c r="H29" s="13">
        <f t="shared" si="0"/>
        <v>163500</v>
      </c>
      <c r="I29" s="117">
        <v>21800</v>
      </c>
      <c r="J29" s="233"/>
      <c r="K29" s="1"/>
      <c r="L29" s="124" t="s">
        <v>21</v>
      </c>
      <c r="M29" s="122"/>
      <c r="N29" s="60">
        <f>IF(N25="","",ROUND(N28,1))</f>
      </c>
      <c r="U29" s="102"/>
      <c r="V29" s="102"/>
      <c r="W29" s="102"/>
      <c r="X29" s="102"/>
    </row>
    <row r="30" spans="1:14" ht="12.75">
      <c r="A30" s="72">
        <v>1986</v>
      </c>
      <c r="B30" s="113">
        <v>50.69</v>
      </c>
      <c r="C30" s="12">
        <f t="shared" si="1"/>
        <v>3.6599999999999966</v>
      </c>
      <c r="D30" s="98">
        <f t="shared" si="2"/>
        <v>0.05365949891497335</v>
      </c>
      <c r="E30" s="110">
        <f t="shared" si="3"/>
        <v>1.0536594989149735</v>
      </c>
      <c r="F30" s="86">
        <v>1986</v>
      </c>
      <c r="G30" s="114">
        <v>23300</v>
      </c>
      <c r="H30" s="13">
        <f t="shared" si="0"/>
        <v>174750</v>
      </c>
      <c r="I30" s="117">
        <v>23300</v>
      </c>
      <c r="J30" s="233"/>
      <c r="K30" s="1"/>
      <c r="L30" s="395" t="s">
        <v>145</v>
      </c>
      <c r="M30" s="131"/>
      <c r="N30" s="396"/>
    </row>
    <row r="31" spans="1:14" ht="12.75">
      <c r="A31" s="72">
        <v>1987</v>
      </c>
      <c r="B31" s="113">
        <v>53.41</v>
      </c>
      <c r="C31" s="12">
        <f t="shared" si="1"/>
        <v>2.719999999999999</v>
      </c>
      <c r="D31" s="98">
        <f t="shared" si="2"/>
        <v>0.0625351057854335</v>
      </c>
      <c r="E31" s="110">
        <f t="shared" si="3"/>
        <v>1.0625351057854335</v>
      </c>
      <c r="F31" s="86">
        <v>1987</v>
      </c>
      <c r="G31" s="114">
        <v>24100</v>
      </c>
      <c r="H31" s="13">
        <f t="shared" si="0"/>
        <v>180750</v>
      </c>
      <c r="I31" s="117">
        <v>24100</v>
      </c>
      <c r="J31" s="233"/>
      <c r="K31" s="1"/>
      <c r="L31" s="134">
        <f>IF(FAKTA!K5="","",SUM(18.5%/FAKTA!E46*0.93))</f>
      </c>
      <c r="M31" s="76"/>
      <c r="N31" s="135">
        <f>IF(L31="","",ROUND(L31,4))</f>
      </c>
    </row>
    <row r="32" spans="1:14" ht="12.75">
      <c r="A32" s="72">
        <v>1988</v>
      </c>
      <c r="B32" s="113">
        <v>56.75</v>
      </c>
      <c r="C32" s="12">
        <f t="shared" si="1"/>
        <v>3.3400000000000034</v>
      </c>
      <c r="D32" s="98">
        <f t="shared" si="2"/>
        <v>0.10484581497797361</v>
      </c>
      <c r="E32" s="110">
        <f t="shared" si="3"/>
        <v>1.1048458149779736</v>
      </c>
      <c r="F32" s="86">
        <v>1988</v>
      </c>
      <c r="G32" s="114">
        <v>25800</v>
      </c>
      <c r="H32" s="13">
        <f t="shared" si="0"/>
        <v>193500</v>
      </c>
      <c r="I32" s="117">
        <v>25800</v>
      </c>
      <c r="J32" s="233"/>
      <c r="K32" s="1"/>
      <c r="L32" s="136">
        <f>IF(FAKTA!K5="","",SUM(18.5%/FAKTA!E46))</f>
      </c>
      <c r="M32" s="137"/>
      <c r="N32" s="138">
        <f>IF(L31="","",ROUND(L32,4))</f>
      </c>
    </row>
    <row r="33" spans="1:14" ht="12.75">
      <c r="A33" s="72">
        <v>1989</v>
      </c>
      <c r="B33" s="113">
        <v>62.7</v>
      </c>
      <c r="C33" s="12">
        <f t="shared" si="1"/>
        <v>5.950000000000003</v>
      </c>
      <c r="D33" s="98">
        <f t="shared" si="2"/>
        <v>0.09585326953747991</v>
      </c>
      <c r="E33" s="110">
        <f t="shared" si="3"/>
        <v>1.0958532695374799</v>
      </c>
      <c r="F33" s="86">
        <v>1989</v>
      </c>
      <c r="G33" s="114">
        <v>27900</v>
      </c>
      <c r="H33" s="13">
        <f t="shared" si="0"/>
        <v>209250</v>
      </c>
      <c r="I33" s="117">
        <v>27900</v>
      </c>
      <c r="J33" s="234"/>
      <c r="K33" s="4"/>
      <c r="L33" s="222" t="s">
        <v>153</v>
      </c>
      <c r="M33" s="223"/>
      <c r="N33" s="224"/>
    </row>
    <row r="34" spans="1:14" ht="12.75">
      <c r="A34" s="72">
        <v>1990</v>
      </c>
      <c r="B34" s="113">
        <v>68.71</v>
      </c>
      <c r="C34" s="12">
        <f t="shared" si="1"/>
        <v>6.009999999999991</v>
      </c>
      <c r="D34" s="98">
        <f t="shared" si="2"/>
        <v>0.11745015281618408</v>
      </c>
      <c r="E34" s="110">
        <f t="shared" si="3"/>
        <v>1.117450152816184</v>
      </c>
      <c r="F34" s="86">
        <v>1990</v>
      </c>
      <c r="G34" s="114">
        <v>29700</v>
      </c>
      <c r="H34" s="13">
        <f t="shared" si="0"/>
        <v>222750</v>
      </c>
      <c r="I34" s="117">
        <v>29700</v>
      </c>
      <c r="J34" s="234"/>
      <c r="K34" s="4"/>
      <c r="L34" s="39" t="s">
        <v>47</v>
      </c>
      <c r="M34" s="17"/>
      <c r="N34" s="73"/>
    </row>
    <row r="35" spans="1:14" ht="12.75">
      <c r="A35" s="72">
        <v>1991</v>
      </c>
      <c r="B35" s="113">
        <v>76.78</v>
      </c>
      <c r="C35" s="12">
        <f t="shared" si="1"/>
        <v>8.070000000000007</v>
      </c>
      <c r="D35" s="98">
        <f t="shared" si="2"/>
        <v>0.10432404271945826</v>
      </c>
      <c r="E35" s="110">
        <f t="shared" si="3"/>
        <v>1.1043240427194583</v>
      </c>
      <c r="F35" s="86">
        <v>1991</v>
      </c>
      <c r="G35" s="114">
        <v>32200</v>
      </c>
      <c r="H35" s="13">
        <f t="shared" si="0"/>
        <v>241500</v>
      </c>
      <c r="I35" s="117">
        <v>32200</v>
      </c>
      <c r="J35" s="234"/>
      <c r="K35" s="4"/>
      <c r="L35" s="106" t="s">
        <v>24</v>
      </c>
      <c r="M35" s="74"/>
      <c r="N35" s="107" t="s">
        <v>72</v>
      </c>
    </row>
    <row r="36" spans="1:14" ht="12.75">
      <c r="A36" s="72">
        <v>1992</v>
      </c>
      <c r="B36" s="113">
        <v>84.79</v>
      </c>
      <c r="C36" s="12">
        <f t="shared" si="1"/>
        <v>8.010000000000005</v>
      </c>
      <c r="D36" s="98">
        <f t="shared" si="2"/>
        <v>0.01804458072885938</v>
      </c>
      <c r="E36" s="110">
        <f t="shared" si="3"/>
        <v>1.0180445807288594</v>
      </c>
      <c r="F36" s="86">
        <v>1992</v>
      </c>
      <c r="G36" s="114">
        <v>33700</v>
      </c>
      <c r="H36" s="13">
        <f t="shared" si="0"/>
        <v>252750</v>
      </c>
      <c r="I36" s="117">
        <v>33700</v>
      </c>
      <c r="J36" s="234"/>
      <c r="K36" s="4"/>
      <c r="L36" s="39" t="s">
        <v>48</v>
      </c>
      <c r="M36" s="17"/>
      <c r="N36" s="73" t="s">
        <v>73</v>
      </c>
    </row>
    <row r="37" spans="1:14" ht="12.75">
      <c r="A37" s="72">
        <v>1993</v>
      </c>
      <c r="B37" s="113">
        <v>86.32</v>
      </c>
      <c r="C37" s="12">
        <f aca="true" t="shared" si="4" ref="C37:C95">IF(B37="","",SUM(B37-B36))</f>
        <v>1.529999999999987</v>
      </c>
      <c r="D37" s="98">
        <f aca="true" t="shared" si="5" ref="D37:D46">IF(C38="","",SUM(C38/B37))</f>
        <v>0.03243744207599643</v>
      </c>
      <c r="E37" s="110">
        <f t="shared" si="3"/>
        <v>1.0324374420759965</v>
      </c>
      <c r="F37" s="86">
        <v>1993</v>
      </c>
      <c r="G37" s="114">
        <v>34400</v>
      </c>
      <c r="H37" s="13">
        <f t="shared" si="0"/>
        <v>258000</v>
      </c>
      <c r="I37" s="117">
        <v>34400</v>
      </c>
      <c r="J37" s="233"/>
      <c r="K37" s="4"/>
      <c r="L37" s="39" t="s">
        <v>49</v>
      </c>
      <c r="M37" s="17"/>
      <c r="N37" s="73" t="s">
        <v>74</v>
      </c>
    </row>
    <row r="38" spans="1:14" ht="12.75">
      <c r="A38" s="72">
        <v>1994</v>
      </c>
      <c r="B38" s="113">
        <v>89.12</v>
      </c>
      <c r="C38" s="12">
        <f t="shared" si="4"/>
        <v>2.8000000000000114</v>
      </c>
      <c r="D38" s="98">
        <f t="shared" si="5"/>
        <v>0.018738779174147235</v>
      </c>
      <c r="E38" s="110">
        <f t="shared" si="3"/>
        <v>1.0187387791741473</v>
      </c>
      <c r="F38" s="86">
        <v>1994</v>
      </c>
      <c r="G38" s="114">
        <v>35200</v>
      </c>
      <c r="H38" s="13">
        <f t="shared" si="0"/>
        <v>264000</v>
      </c>
      <c r="I38" s="117">
        <v>35200</v>
      </c>
      <c r="J38" s="235"/>
      <c r="K38" s="4"/>
      <c r="L38" s="39" t="s">
        <v>50</v>
      </c>
      <c r="M38" s="17"/>
      <c r="N38" s="73" t="s">
        <v>75</v>
      </c>
    </row>
    <row r="39" spans="1:14" ht="12.75">
      <c r="A39" s="72">
        <v>1995</v>
      </c>
      <c r="B39" s="113">
        <v>90.79</v>
      </c>
      <c r="C39" s="12">
        <f t="shared" si="4"/>
        <v>1.6700000000000017</v>
      </c>
      <c r="D39" s="98">
        <f t="shared" si="5"/>
        <v>0.01784337482101542</v>
      </c>
      <c r="E39" s="110">
        <f t="shared" si="3"/>
        <v>1.0178433748210154</v>
      </c>
      <c r="F39" s="86">
        <v>1995</v>
      </c>
      <c r="G39" s="115">
        <v>36000</v>
      </c>
      <c r="H39" s="13">
        <f t="shared" si="0"/>
        <v>270000</v>
      </c>
      <c r="I39" s="117">
        <v>35700</v>
      </c>
      <c r="J39" s="235">
        <v>36000</v>
      </c>
      <c r="K39" s="4"/>
      <c r="L39" s="39" t="s">
        <v>211</v>
      </c>
      <c r="M39" s="17"/>
      <c r="N39" s="73" t="s">
        <v>212</v>
      </c>
    </row>
    <row r="40" spans="1:14" ht="12.75">
      <c r="A40" s="72">
        <v>1996</v>
      </c>
      <c r="B40" s="113">
        <v>92.41</v>
      </c>
      <c r="C40" s="12">
        <f t="shared" si="4"/>
        <v>1.6199999999999903</v>
      </c>
      <c r="D40" s="98">
        <f t="shared" si="5"/>
        <v>0.018071637268693885</v>
      </c>
      <c r="E40" s="110">
        <f t="shared" si="3"/>
        <v>1.018071637268694</v>
      </c>
      <c r="F40" s="86">
        <v>1996</v>
      </c>
      <c r="G40" s="115">
        <v>36800</v>
      </c>
      <c r="H40" s="13">
        <f t="shared" si="0"/>
        <v>276000</v>
      </c>
      <c r="I40" s="117">
        <v>36200</v>
      </c>
      <c r="J40" s="235">
        <v>36800</v>
      </c>
      <c r="K40" s="4"/>
      <c r="L40" s="39"/>
      <c r="M40" s="17"/>
      <c r="N40" s="73"/>
    </row>
    <row r="41" spans="1:14" ht="12.75">
      <c r="A41" s="72">
        <v>1997</v>
      </c>
      <c r="B41" s="113">
        <v>94.08</v>
      </c>
      <c r="C41" s="12">
        <f t="shared" si="4"/>
        <v>1.6700000000000017</v>
      </c>
      <c r="D41" s="98">
        <f t="shared" si="5"/>
        <v>0.028380102040816344</v>
      </c>
      <c r="E41" s="110">
        <f t="shared" si="3"/>
        <v>1.0283801020408163</v>
      </c>
      <c r="F41" s="86">
        <v>1997</v>
      </c>
      <c r="G41" s="115">
        <v>37000</v>
      </c>
      <c r="H41" s="13">
        <f t="shared" si="0"/>
        <v>277500</v>
      </c>
      <c r="I41" s="117">
        <v>36300</v>
      </c>
      <c r="J41" s="235">
        <v>37000</v>
      </c>
      <c r="K41" s="4"/>
      <c r="L41" s="39" t="s">
        <v>431</v>
      </c>
      <c r="M41" s="17"/>
      <c r="N41" s="73" t="s">
        <v>430</v>
      </c>
    </row>
    <row r="42" spans="1:14" ht="12.75">
      <c r="A42" s="72">
        <v>1998</v>
      </c>
      <c r="B42" s="113">
        <v>96.75</v>
      </c>
      <c r="C42" s="12">
        <f t="shared" si="4"/>
        <v>2.6700000000000017</v>
      </c>
      <c r="D42" s="98">
        <f t="shared" si="5"/>
        <v>0.03359173126614987</v>
      </c>
      <c r="E42" s="110">
        <f t="shared" si="3"/>
        <v>1.0335917312661498</v>
      </c>
      <c r="F42" s="86">
        <v>1998</v>
      </c>
      <c r="G42" s="115">
        <v>37100</v>
      </c>
      <c r="H42" s="13">
        <f t="shared" si="0"/>
        <v>278250</v>
      </c>
      <c r="I42" s="117">
        <v>36400</v>
      </c>
      <c r="J42" s="235">
        <v>37100</v>
      </c>
      <c r="K42" s="4"/>
      <c r="L42" s="39"/>
      <c r="M42" s="17"/>
      <c r="N42" s="73"/>
    </row>
    <row r="43" spans="1:14" ht="12.75">
      <c r="A43" s="72">
        <v>1999</v>
      </c>
      <c r="B43" s="113">
        <v>100</v>
      </c>
      <c r="C43" s="12">
        <f t="shared" si="4"/>
        <v>3.25</v>
      </c>
      <c r="D43" s="98">
        <f t="shared" si="5"/>
        <v>0.01730000000000004</v>
      </c>
      <c r="E43" s="110">
        <f t="shared" si="3"/>
        <v>1.0173</v>
      </c>
      <c r="F43" s="86">
        <v>1999</v>
      </c>
      <c r="G43" s="115">
        <v>37200</v>
      </c>
      <c r="H43" s="13">
        <f aca="true" t="shared" si="6" ref="H43:H95">SUM(G43*7.5/0.93)</f>
        <v>300000</v>
      </c>
      <c r="I43" s="117">
        <v>36400</v>
      </c>
      <c r="J43" s="235">
        <v>37200</v>
      </c>
      <c r="K43" s="4"/>
      <c r="L43" s="39" t="s">
        <v>452</v>
      </c>
      <c r="M43" s="17"/>
      <c r="N43" s="73" t="s">
        <v>453</v>
      </c>
    </row>
    <row r="44" spans="1:14" ht="12.75">
      <c r="A44" s="72">
        <v>2000</v>
      </c>
      <c r="B44" s="113">
        <v>101.73</v>
      </c>
      <c r="C44" s="12">
        <f t="shared" si="4"/>
        <v>1.730000000000004</v>
      </c>
      <c r="D44" s="98">
        <f t="shared" si="5"/>
        <v>0.014450014744912993</v>
      </c>
      <c r="E44" s="110">
        <f t="shared" si="3"/>
        <v>1.014450014744913</v>
      </c>
      <c r="F44" s="86">
        <v>2000</v>
      </c>
      <c r="G44" s="115">
        <v>37300</v>
      </c>
      <c r="H44" s="13">
        <f t="shared" si="6"/>
        <v>300806.4516129032</v>
      </c>
      <c r="I44" s="117">
        <v>36600</v>
      </c>
      <c r="J44" s="235">
        <v>37300</v>
      </c>
      <c r="K44" s="4"/>
      <c r="L44" s="39"/>
      <c r="M44" s="17"/>
      <c r="N44" s="73"/>
    </row>
    <row r="45" spans="1:14" ht="12.75">
      <c r="A45" s="72">
        <v>2001</v>
      </c>
      <c r="B45" s="113">
        <v>103.2</v>
      </c>
      <c r="C45" s="12">
        <f t="shared" si="4"/>
        <v>1.4699999999999989</v>
      </c>
      <c r="D45" s="98">
        <f t="shared" si="5"/>
        <v>0.028682170542635596</v>
      </c>
      <c r="E45" s="110">
        <f t="shared" si="3"/>
        <v>1.0286821705426357</v>
      </c>
      <c r="F45" s="86">
        <v>2001</v>
      </c>
      <c r="G45" s="116">
        <v>37700</v>
      </c>
      <c r="H45" s="13">
        <f t="shared" si="6"/>
        <v>304032.2580645161</v>
      </c>
      <c r="I45" s="117">
        <v>36900</v>
      </c>
      <c r="J45" s="235">
        <v>37700</v>
      </c>
      <c r="K45" s="4"/>
      <c r="L45" s="5" t="s">
        <v>154</v>
      </c>
      <c r="M45" s="6"/>
      <c r="N45" s="139"/>
    </row>
    <row r="46" spans="1:14" ht="12.75">
      <c r="A46" s="72">
        <v>2002</v>
      </c>
      <c r="B46" s="113">
        <v>106.16</v>
      </c>
      <c r="C46" s="12">
        <f t="shared" si="4"/>
        <v>2.9599999999999937</v>
      </c>
      <c r="D46" s="98">
        <f t="shared" si="5"/>
        <v>0.05303315749811614</v>
      </c>
      <c r="E46" s="110">
        <f t="shared" si="3"/>
        <v>1.0530331574981162</v>
      </c>
      <c r="F46" s="86">
        <v>2002</v>
      </c>
      <c r="G46" s="116">
        <v>38800</v>
      </c>
      <c r="H46" s="13">
        <f t="shared" si="6"/>
        <v>312903.2258064516</v>
      </c>
      <c r="I46" s="117">
        <v>37900</v>
      </c>
      <c r="J46" s="235">
        <v>38700</v>
      </c>
      <c r="K46" s="4"/>
      <c r="L46" s="7" t="s">
        <v>87</v>
      </c>
      <c r="M46" s="8"/>
      <c r="N46" s="140">
        <f>SUM(P98)</f>
        <v>2024</v>
      </c>
    </row>
    <row r="47" spans="1:16" ht="12.75">
      <c r="A47" s="72">
        <v>2003</v>
      </c>
      <c r="B47" s="113">
        <v>111.79</v>
      </c>
      <c r="C47" s="12">
        <f t="shared" si="4"/>
        <v>5.63000000000001</v>
      </c>
      <c r="D47" s="98">
        <f>IF(C48="","",SUM(C48/B47))</f>
        <v>0.034439574201628</v>
      </c>
      <c r="E47" s="110">
        <f t="shared" si="3"/>
        <v>1.034439574201628</v>
      </c>
      <c r="F47" s="86">
        <v>2003</v>
      </c>
      <c r="G47" s="116">
        <v>40900</v>
      </c>
      <c r="H47" s="13">
        <f t="shared" si="6"/>
        <v>329838.70967741933</v>
      </c>
      <c r="I47" s="117">
        <v>38600</v>
      </c>
      <c r="J47" s="235">
        <v>39400</v>
      </c>
      <c r="K47" s="4"/>
      <c r="L47" s="7" t="s">
        <v>88</v>
      </c>
      <c r="M47" s="8"/>
      <c r="N47" s="140">
        <f>SUM(Q98)</f>
        <v>2024</v>
      </c>
      <c r="P47" s="101"/>
    </row>
    <row r="48" spans="1:14" ht="12.75">
      <c r="A48" s="72">
        <v>2004</v>
      </c>
      <c r="B48" s="113">
        <v>115.64</v>
      </c>
      <c r="C48" s="12">
        <f t="shared" si="4"/>
        <v>3.8499999999999943</v>
      </c>
      <c r="D48" s="98">
        <f>IF(B48="","",IF(B49="",D47,SUM(C49/B48)))</f>
        <v>0.02395364925631266</v>
      </c>
      <c r="E48" s="110">
        <f t="shared" si="3"/>
        <v>1.0239536492563126</v>
      </c>
      <c r="F48" s="86">
        <v>2004</v>
      </c>
      <c r="G48" s="116">
        <v>42300</v>
      </c>
      <c r="H48" s="13">
        <f t="shared" si="6"/>
        <v>341129.0322580645</v>
      </c>
      <c r="I48" s="117">
        <v>39300</v>
      </c>
      <c r="J48" s="235">
        <v>40100</v>
      </c>
      <c r="K48" s="4"/>
      <c r="L48" s="7" t="s">
        <v>89</v>
      </c>
      <c r="M48" s="8"/>
      <c r="N48" s="140">
        <f>SUM(R98)</f>
        <v>2024</v>
      </c>
    </row>
    <row r="49" spans="1:14" ht="12.75">
      <c r="A49" s="72">
        <v>2005</v>
      </c>
      <c r="B49" s="113">
        <v>118.41</v>
      </c>
      <c r="C49" s="12">
        <f t="shared" si="4"/>
        <v>2.769999999999996</v>
      </c>
      <c r="D49" s="98">
        <f>IF(B50="",D48,SUM(C50/B49))</f>
        <v>0.027362553838358325</v>
      </c>
      <c r="E49" s="110">
        <f t="shared" si="3"/>
        <v>1.0273625538383584</v>
      </c>
      <c r="F49" s="86">
        <v>2005</v>
      </c>
      <c r="G49" s="116">
        <v>43300</v>
      </c>
      <c r="H49" s="13">
        <f t="shared" si="6"/>
        <v>349193.54838709673</v>
      </c>
      <c r="I49" s="117">
        <v>39400</v>
      </c>
      <c r="J49" s="235">
        <v>40300</v>
      </c>
      <c r="K49" s="4"/>
      <c r="L49" s="141" t="s">
        <v>215</v>
      </c>
      <c r="M49" s="142"/>
      <c r="N49" s="236">
        <f>SUM(S98)</f>
        <v>2024</v>
      </c>
    </row>
    <row r="50" spans="1:16" ht="12.75">
      <c r="A50" s="72">
        <v>2006</v>
      </c>
      <c r="B50" s="113">
        <v>121.65</v>
      </c>
      <c r="C50" s="12">
        <f t="shared" si="4"/>
        <v>3.240000000000009</v>
      </c>
      <c r="D50" s="98">
        <f>IF(C49="","",IF(B51="",D49,SUM(C51/B50)))</f>
        <v>0.03222359227291399</v>
      </c>
      <c r="E50" s="110">
        <f t="shared" si="3"/>
        <v>1.032223592272914</v>
      </c>
      <c r="F50" s="86">
        <v>2006</v>
      </c>
      <c r="G50" s="116">
        <v>44500</v>
      </c>
      <c r="H50" s="13">
        <f t="shared" si="6"/>
        <v>358870.96774193546</v>
      </c>
      <c r="I50" s="117">
        <v>39700</v>
      </c>
      <c r="J50" s="235">
        <v>40500</v>
      </c>
      <c r="K50" s="4"/>
      <c r="L50" s="4"/>
      <c r="M50" s="4"/>
      <c r="N50" s="4"/>
      <c r="O50" t="s">
        <v>408</v>
      </c>
      <c r="P50" s="109"/>
    </row>
    <row r="51" spans="1:16" ht="12.75">
      <c r="A51" s="72">
        <v>2007</v>
      </c>
      <c r="B51" s="113">
        <v>125.57</v>
      </c>
      <c r="C51" s="12">
        <f t="shared" si="4"/>
        <v>3.9199999999999875</v>
      </c>
      <c r="D51" s="98">
        <f aca="true" t="shared" si="7" ref="D51:D94">IF(C50="","",IF(B52="",D50,SUM(C52/B51)))</f>
        <v>0.0446762761806165</v>
      </c>
      <c r="E51" s="110">
        <f t="shared" si="3"/>
        <v>1.0446762761806165</v>
      </c>
      <c r="F51" s="86">
        <v>2007</v>
      </c>
      <c r="G51" s="116">
        <v>45900</v>
      </c>
      <c r="H51" s="13">
        <f t="shared" si="6"/>
        <v>370161.2903225806</v>
      </c>
      <c r="I51" s="117">
        <v>40300</v>
      </c>
      <c r="J51" s="235">
        <v>41100</v>
      </c>
      <c r="K51" s="4"/>
      <c r="L51" s="4"/>
      <c r="M51" s="4"/>
      <c r="N51" s="4"/>
      <c r="O51" t="s">
        <v>409</v>
      </c>
      <c r="P51" t="s">
        <v>410</v>
      </c>
    </row>
    <row r="52" spans="1:19" ht="12.75">
      <c r="A52" s="72">
        <v>2008</v>
      </c>
      <c r="B52" s="113">
        <v>131.18</v>
      </c>
      <c r="C52" s="12">
        <f t="shared" si="4"/>
        <v>5.610000000000014</v>
      </c>
      <c r="D52" s="98">
        <f t="shared" si="7"/>
        <v>0.0615947552980636</v>
      </c>
      <c r="E52" s="110">
        <f t="shared" si="3"/>
        <v>1.0615947552980636</v>
      </c>
      <c r="F52" s="86">
        <v>2008</v>
      </c>
      <c r="G52" s="116">
        <v>48000</v>
      </c>
      <c r="H52" s="13">
        <f t="shared" si="6"/>
        <v>387096.77419354836</v>
      </c>
      <c r="I52" s="117">
        <v>41000</v>
      </c>
      <c r="J52" s="235">
        <v>41800</v>
      </c>
      <c r="K52" s="4"/>
      <c r="L52" s="4"/>
      <c r="M52" s="4"/>
      <c r="N52" s="4"/>
      <c r="O52" s="491">
        <f>IF(AND(H52&gt;0,H53=0),H52,"")</f>
      </c>
      <c r="P52" t="s">
        <v>84</v>
      </c>
      <c r="Q52" t="s">
        <v>411</v>
      </c>
      <c r="R52" t="s">
        <v>86</v>
      </c>
      <c r="S52" t="s">
        <v>392</v>
      </c>
    </row>
    <row r="53" spans="1:19" ht="12.75">
      <c r="A53" s="72">
        <v>2009</v>
      </c>
      <c r="B53" s="113">
        <v>139.26</v>
      </c>
      <c r="C53" s="12">
        <f t="shared" si="4"/>
        <v>8.079999999999984</v>
      </c>
      <c r="D53" s="98">
        <f t="shared" si="7"/>
        <v>0.0034467901766481275</v>
      </c>
      <c r="E53" s="110">
        <f t="shared" si="3"/>
        <v>1.0034467901766482</v>
      </c>
      <c r="F53" s="86">
        <v>2009</v>
      </c>
      <c r="G53" s="116">
        <v>50900</v>
      </c>
      <c r="H53" s="13">
        <f t="shared" si="6"/>
        <v>410483.87096774194</v>
      </c>
      <c r="I53" s="117">
        <v>42800</v>
      </c>
      <c r="J53" s="235">
        <v>43600</v>
      </c>
      <c r="K53" s="4"/>
      <c r="L53" s="4"/>
      <c r="M53" s="4"/>
      <c r="N53" s="4"/>
      <c r="O53" s="491">
        <f aca="true" t="shared" si="8" ref="O53:O94">IF(AND(H53&gt;0,H54=0),H53,"")</f>
      </c>
      <c r="P53">
        <f>IF(B53="",A53,"")</f>
      </c>
      <c r="Q53">
        <f>IF(G53="",F53,"")</f>
      </c>
      <c r="R53">
        <f>IF(I53="",F53,"")</f>
      </c>
      <c r="S53">
        <f>IF(J53="",F53,"")</f>
      </c>
    </row>
    <row r="54" spans="1:19" ht="12.75">
      <c r="A54" s="72">
        <v>2010</v>
      </c>
      <c r="B54" s="113">
        <v>139.74</v>
      </c>
      <c r="C54" s="12">
        <f t="shared" si="4"/>
        <v>0.4800000000000182</v>
      </c>
      <c r="D54" s="98">
        <f t="shared" si="7"/>
        <v>0.01860598253900096</v>
      </c>
      <c r="E54" s="110">
        <f t="shared" si="3"/>
        <v>1.018605982539001</v>
      </c>
      <c r="F54" s="87">
        <v>2010</v>
      </c>
      <c r="G54" s="116">
        <v>51100</v>
      </c>
      <c r="H54" s="13">
        <f t="shared" si="6"/>
        <v>412096.77419354836</v>
      </c>
      <c r="I54" s="117">
        <v>42400</v>
      </c>
      <c r="J54" s="235">
        <v>43300</v>
      </c>
      <c r="K54" s="4"/>
      <c r="L54" s="623" t="s">
        <v>496</v>
      </c>
      <c r="M54" s="81" t="s">
        <v>326</v>
      </c>
      <c r="N54" s="82"/>
      <c r="O54" s="491">
        <f t="shared" si="8"/>
      </c>
      <c r="P54">
        <f aca="true" t="shared" si="9" ref="P54:P96">IF(B54="",A54,"")</f>
      </c>
      <c r="Q54">
        <f aca="true" t="shared" si="10" ref="Q54:Q95">IF(G54="",F54,"")</f>
      </c>
      <c r="R54">
        <f aca="true" t="shared" si="11" ref="R54:R95">IF(I54="",F54,"")</f>
      </c>
      <c r="S54">
        <f aca="true" t="shared" si="12" ref="S54:S95">IF(J54="",F54,"")</f>
      </c>
    </row>
    <row r="55" spans="1:19" ht="12.75">
      <c r="A55" s="72">
        <v>2011</v>
      </c>
      <c r="B55" s="113">
        <v>142.34</v>
      </c>
      <c r="C55" s="12">
        <f t="shared" si="4"/>
        <v>2.5999999999999943</v>
      </c>
      <c r="D55" s="98">
        <f t="shared" si="7"/>
        <v>0.04903751580722207</v>
      </c>
      <c r="E55" s="110">
        <f t="shared" si="3"/>
        <v>1.049037515807222</v>
      </c>
      <c r="F55" s="87">
        <v>2011</v>
      </c>
      <c r="G55" s="116">
        <v>52100</v>
      </c>
      <c r="H55" s="13">
        <f t="shared" si="6"/>
        <v>420161.2903225806</v>
      </c>
      <c r="I55" s="117">
        <v>42800</v>
      </c>
      <c r="J55" s="235">
        <v>43700</v>
      </c>
      <c r="K55" s="4"/>
      <c r="L55" s="91">
        <v>1954</v>
      </c>
      <c r="M55" s="624">
        <v>65</v>
      </c>
      <c r="N55" s="1"/>
      <c r="O55" s="491">
        <f t="shared" si="8"/>
      </c>
      <c r="P55">
        <f t="shared" si="9"/>
      </c>
      <c r="Q55">
        <f t="shared" si="10"/>
      </c>
      <c r="R55">
        <f t="shared" si="11"/>
      </c>
      <c r="S55">
        <f t="shared" si="12"/>
      </c>
    </row>
    <row r="56" spans="1:19" ht="12.75">
      <c r="A56" s="72">
        <v>2012</v>
      </c>
      <c r="B56" s="113">
        <v>149.32</v>
      </c>
      <c r="C56" s="12">
        <f t="shared" si="4"/>
        <v>6.97999999999999</v>
      </c>
      <c r="D56" s="98">
        <f t="shared" si="7"/>
        <v>0.03696758639164218</v>
      </c>
      <c r="E56" s="110">
        <f t="shared" si="3"/>
        <v>1.036967586391642</v>
      </c>
      <c r="F56" s="87">
        <v>2012</v>
      </c>
      <c r="G56" s="116">
        <v>54600</v>
      </c>
      <c r="H56" s="13">
        <f t="shared" si="6"/>
        <v>440322.5806451613</v>
      </c>
      <c r="I56" s="117">
        <v>44000</v>
      </c>
      <c r="J56" s="235">
        <v>44900</v>
      </c>
      <c r="K56" s="4"/>
      <c r="L56" s="91">
        <v>1961</v>
      </c>
      <c r="M56" s="624">
        <v>67</v>
      </c>
      <c r="N56" s="1"/>
      <c r="O56" s="491">
        <f t="shared" si="8"/>
      </c>
      <c r="P56">
        <f t="shared" si="9"/>
      </c>
      <c r="Q56">
        <f t="shared" si="10"/>
      </c>
      <c r="R56">
        <f t="shared" si="11"/>
      </c>
      <c r="S56">
        <f t="shared" si="12"/>
      </c>
    </row>
    <row r="57" spans="1:19" ht="12.75">
      <c r="A57" s="72">
        <v>2013</v>
      </c>
      <c r="B57" s="113">
        <v>154.84</v>
      </c>
      <c r="C57" s="12">
        <f t="shared" si="4"/>
        <v>5.52000000000001</v>
      </c>
      <c r="D57" s="98">
        <f t="shared" si="7"/>
        <v>0.004972875226039849</v>
      </c>
      <c r="E57" s="110">
        <f t="shared" si="3"/>
        <v>1.0049728752260398</v>
      </c>
      <c r="F57" s="87">
        <v>2013</v>
      </c>
      <c r="G57" s="116">
        <v>56600</v>
      </c>
      <c r="H57" s="13">
        <f t="shared" si="6"/>
        <v>456451.61290322576</v>
      </c>
      <c r="I57" s="117">
        <v>44500</v>
      </c>
      <c r="J57" s="235">
        <v>45400</v>
      </c>
      <c r="K57" s="4"/>
      <c r="L57" s="219"/>
      <c r="M57" s="625"/>
      <c r="N57" s="1"/>
      <c r="O57" s="491">
        <f t="shared" si="8"/>
      </c>
      <c r="P57">
        <f t="shared" si="9"/>
      </c>
      <c r="Q57">
        <f t="shared" si="10"/>
      </c>
      <c r="R57">
        <f t="shared" si="11"/>
      </c>
      <c r="S57">
        <f t="shared" si="12"/>
      </c>
    </row>
    <row r="58" spans="1:19" ht="12.75">
      <c r="A58" s="72">
        <v>2014</v>
      </c>
      <c r="B58" s="113">
        <v>155.61</v>
      </c>
      <c r="C58" s="12">
        <f t="shared" si="4"/>
        <v>0.7700000000000102</v>
      </c>
      <c r="D58" s="98">
        <f t="shared" si="7"/>
        <v>0.02120686331212636</v>
      </c>
      <c r="E58" s="110">
        <f t="shared" si="3"/>
        <v>1.0212068633121263</v>
      </c>
      <c r="F58" s="87">
        <v>2014</v>
      </c>
      <c r="G58" s="116">
        <v>56900</v>
      </c>
      <c r="H58" s="13">
        <f t="shared" si="6"/>
        <v>458870.96774193546</v>
      </c>
      <c r="I58" s="117">
        <v>44400</v>
      </c>
      <c r="J58" s="235">
        <v>45300</v>
      </c>
      <c r="K58" s="4"/>
      <c r="L58" s="4"/>
      <c r="M58" s="4"/>
      <c r="N58" s="4"/>
      <c r="O58" s="491">
        <f t="shared" si="8"/>
      </c>
      <c r="P58">
        <f t="shared" si="9"/>
      </c>
      <c r="Q58">
        <f t="shared" si="10"/>
      </c>
      <c r="R58">
        <f t="shared" si="11"/>
      </c>
      <c r="S58">
        <f t="shared" si="12"/>
      </c>
    </row>
    <row r="59" spans="1:19" ht="12.75">
      <c r="A59" s="72">
        <v>2015</v>
      </c>
      <c r="B59" s="113">
        <v>158.91</v>
      </c>
      <c r="C59" s="12">
        <f t="shared" si="4"/>
        <v>3.299999999999983</v>
      </c>
      <c r="D59" s="98">
        <f t="shared" si="7"/>
        <v>0.020325970675224906</v>
      </c>
      <c r="E59" s="110">
        <f t="shared" si="3"/>
        <v>1.020325970675225</v>
      </c>
      <c r="F59" s="87">
        <v>2015</v>
      </c>
      <c r="G59" s="116">
        <v>58100</v>
      </c>
      <c r="H59" s="13">
        <f t="shared" si="6"/>
        <v>468548.3870967742</v>
      </c>
      <c r="I59" s="117">
        <v>44500</v>
      </c>
      <c r="J59" s="235">
        <v>45400</v>
      </c>
      <c r="K59" s="4"/>
      <c r="L59" s="697" t="s">
        <v>535</v>
      </c>
      <c r="M59" s="696"/>
      <c r="N59" s="696"/>
      <c r="O59" s="491">
        <f t="shared" si="8"/>
      </c>
      <c r="P59">
        <f t="shared" si="9"/>
      </c>
      <c r="Q59">
        <f t="shared" si="10"/>
      </c>
      <c r="R59">
        <f t="shared" si="11"/>
      </c>
      <c r="S59">
        <f t="shared" si="12"/>
      </c>
    </row>
    <row r="60" spans="1:19" ht="12.75">
      <c r="A60" s="72">
        <v>2016</v>
      </c>
      <c r="B60" s="113">
        <v>162.14</v>
      </c>
      <c r="C60" s="12">
        <f t="shared" si="4"/>
        <v>3.2299999999999898</v>
      </c>
      <c r="D60" s="98">
        <f t="shared" si="7"/>
        <v>0.03712840754903177</v>
      </c>
      <c r="E60" s="110">
        <f t="shared" si="3"/>
        <v>1.0371284075490317</v>
      </c>
      <c r="F60" s="87">
        <v>2016</v>
      </c>
      <c r="G60" s="116">
        <v>59300</v>
      </c>
      <c r="H60" s="13">
        <f t="shared" si="6"/>
        <v>478225.80645161285</v>
      </c>
      <c r="I60" s="117">
        <v>44300</v>
      </c>
      <c r="J60" s="235">
        <v>45200</v>
      </c>
      <c r="K60" s="4"/>
      <c r="L60" s="686" t="s">
        <v>531</v>
      </c>
      <c r="M60" s="686"/>
      <c r="N60" s="686"/>
      <c r="O60" s="491">
        <f t="shared" si="8"/>
      </c>
      <c r="P60">
        <f t="shared" si="9"/>
      </c>
      <c r="Q60">
        <f t="shared" si="10"/>
      </c>
      <c r="R60">
        <f t="shared" si="11"/>
      </c>
      <c r="S60">
        <f t="shared" si="12"/>
      </c>
    </row>
    <row r="61" spans="1:19" ht="12.75">
      <c r="A61" s="72">
        <v>2017</v>
      </c>
      <c r="B61" s="108">
        <v>168.16</v>
      </c>
      <c r="C61" s="12">
        <f t="shared" si="4"/>
        <v>6.02000000000001</v>
      </c>
      <c r="D61" s="98">
        <f t="shared" si="7"/>
        <v>0.015283063748810615</v>
      </c>
      <c r="E61" s="110">
        <f t="shared" si="3"/>
        <v>1.0152830637488106</v>
      </c>
      <c r="F61" s="87">
        <v>2017</v>
      </c>
      <c r="G61" s="119">
        <v>61500</v>
      </c>
      <c r="H61" s="13">
        <f t="shared" si="6"/>
        <v>495967.7419354838</v>
      </c>
      <c r="I61" s="120">
        <v>44800</v>
      </c>
      <c r="J61" s="245">
        <v>45700</v>
      </c>
      <c r="K61" s="4"/>
      <c r="L61" s="164" t="s">
        <v>534</v>
      </c>
      <c r="M61" s="164" t="s">
        <v>533</v>
      </c>
      <c r="N61" s="165"/>
      <c r="O61" s="491">
        <f t="shared" si="8"/>
      </c>
      <c r="P61">
        <f t="shared" si="9"/>
      </c>
      <c r="Q61">
        <f t="shared" si="10"/>
      </c>
      <c r="R61">
        <f t="shared" si="11"/>
      </c>
      <c r="S61">
        <f t="shared" si="12"/>
      </c>
    </row>
    <row r="62" spans="1:19" ht="12.75">
      <c r="A62" s="72">
        <v>2018</v>
      </c>
      <c r="B62" s="108">
        <v>170.73</v>
      </c>
      <c r="C62" s="12">
        <f t="shared" si="4"/>
        <v>2.569999999999993</v>
      </c>
      <c r="D62" s="98">
        <f t="shared" si="7"/>
        <v>0.030633163474491996</v>
      </c>
      <c r="E62" s="110">
        <f t="shared" si="3"/>
        <v>1.030633163474492</v>
      </c>
      <c r="F62" s="87">
        <v>2018</v>
      </c>
      <c r="G62" s="119">
        <v>62500</v>
      </c>
      <c r="H62" s="13">
        <f t="shared" si="6"/>
        <v>504032.2580645161</v>
      </c>
      <c r="I62" s="120">
        <v>45500</v>
      </c>
      <c r="J62" s="245">
        <v>46500</v>
      </c>
      <c r="K62" s="4"/>
      <c r="L62" s="164" t="s">
        <v>532</v>
      </c>
      <c r="M62" s="164" t="s">
        <v>532</v>
      </c>
      <c r="N62" s="164" t="s">
        <v>61</v>
      </c>
      <c r="O62" s="491">
        <f t="shared" si="8"/>
      </c>
      <c r="P62">
        <f t="shared" si="9"/>
      </c>
      <c r="Q62">
        <f t="shared" si="10"/>
      </c>
      <c r="R62">
        <f t="shared" si="11"/>
      </c>
      <c r="S62">
        <f t="shared" si="12"/>
      </c>
    </row>
    <row r="63" spans="1:19" ht="12.75">
      <c r="A63" s="72">
        <v>2019</v>
      </c>
      <c r="B63" s="108">
        <v>175.96</v>
      </c>
      <c r="C63" s="12">
        <f t="shared" si="4"/>
        <v>5.230000000000018</v>
      </c>
      <c r="D63" s="98">
        <f t="shared" si="7"/>
        <v>0.03762218686065017</v>
      </c>
      <c r="E63" s="110">
        <f t="shared" si="3"/>
        <v>1.03762218686065</v>
      </c>
      <c r="F63" s="87">
        <v>2019</v>
      </c>
      <c r="G63" s="119">
        <v>64400</v>
      </c>
      <c r="H63" s="13">
        <f t="shared" si="6"/>
        <v>519354.8387096774</v>
      </c>
      <c r="I63" s="120">
        <v>46500</v>
      </c>
      <c r="J63" s="245">
        <v>47400</v>
      </c>
      <c r="K63" s="4"/>
      <c r="L63" s="687">
        <v>9589</v>
      </c>
      <c r="M63" s="688">
        <v>9765</v>
      </c>
      <c r="N63" s="689">
        <v>25</v>
      </c>
      <c r="O63" s="491">
        <f t="shared" si="8"/>
      </c>
      <c r="P63">
        <f t="shared" si="9"/>
      </c>
      <c r="Q63">
        <f t="shared" si="10"/>
      </c>
      <c r="R63">
        <f t="shared" si="11"/>
      </c>
      <c r="S63">
        <f t="shared" si="12"/>
      </c>
    </row>
    <row r="64" spans="1:19" ht="12.75">
      <c r="A64" s="72">
        <v>2020</v>
      </c>
      <c r="B64" s="108">
        <v>182.58</v>
      </c>
      <c r="C64" s="12">
        <f t="shared" si="4"/>
        <v>6.6200000000000045</v>
      </c>
      <c r="D64" s="98">
        <f t="shared" si="7"/>
        <v>0.021579581553291694</v>
      </c>
      <c r="E64" s="110">
        <f t="shared" si="3"/>
        <v>1.0215795815532918</v>
      </c>
      <c r="F64" s="87">
        <v>2020</v>
      </c>
      <c r="G64" s="119">
        <v>66800</v>
      </c>
      <c r="H64" s="13">
        <f t="shared" si="6"/>
        <v>538709.6774193548</v>
      </c>
      <c r="I64" s="120">
        <v>47300</v>
      </c>
      <c r="J64" s="245">
        <v>48300</v>
      </c>
      <c r="K64" s="4"/>
      <c r="L64" s="690">
        <f>SUM(M63+1)</f>
        <v>9766</v>
      </c>
      <c r="M64" s="691">
        <v>9943</v>
      </c>
      <c r="N64" s="692">
        <v>75</v>
      </c>
      <c r="O64" s="491">
        <f t="shared" si="8"/>
      </c>
      <c r="P64">
        <f t="shared" si="9"/>
      </c>
      <c r="Q64">
        <f t="shared" si="10"/>
      </c>
      <c r="R64">
        <f t="shared" si="11"/>
      </c>
      <c r="S64">
        <f t="shared" si="12"/>
      </c>
    </row>
    <row r="65" spans="1:19" ht="12.75">
      <c r="A65" s="72">
        <v>2021</v>
      </c>
      <c r="B65" s="108">
        <v>186.52</v>
      </c>
      <c r="C65" s="12">
        <f t="shared" si="4"/>
        <v>3.9399999999999977</v>
      </c>
      <c r="D65" s="98">
        <f t="shared" si="7"/>
        <v>0.04112159553935228</v>
      </c>
      <c r="E65" s="110">
        <f t="shared" si="3"/>
        <v>1.0411215955393522</v>
      </c>
      <c r="F65" s="87">
        <v>2021</v>
      </c>
      <c r="G65" s="119">
        <v>68200</v>
      </c>
      <c r="H65" s="13">
        <f t="shared" si="6"/>
        <v>550000</v>
      </c>
      <c r="I65" s="120">
        <v>47600</v>
      </c>
      <c r="J65" s="245">
        <v>48600</v>
      </c>
      <c r="K65" s="4"/>
      <c r="L65" s="690">
        <f aca="true" t="shared" si="13" ref="L65:L87">SUM(M64+1)</f>
        <v>9944</v>
      </c>
      <c r="M65" s="691">
        <v>10120</v>
      </c>
      <c r="N65" s="692">
        <v>125</v>
      </c>
      <c r="O65" s="491">
        <f t="shared" si="8"/>
      </c>
      <c r="P65">
        <f t="shared" si="9"/>
      </c>
      <c r="Q65">
        <f t="shared" si="10"/>
      </c>
      <c r="R65">
        <f t="shared" si="11"/>
      </c>
      <c r="S65">
        <f t="shared" si="12"/>
      </c>
    </row>
    <row r="66" spans="1:19" ht="12.75">
      <c r="A66" s="527">
        <v>2022</v>
      </c>
      <c r="B66" s="108">
        <v>194.19</v>
      </c>
      <c r="C66" s="12">
        <f t="shared" si="4"/>
        <v>7.6699999999999875</v>
      </c>
      <c r="D66" s="98">
        <f t="shared" si="7"/>
        <v>0.04603738606519387</v>
      </c>
      <c r="E66" s="110">
        <f t="shared" si="3"/>
        <v>1.046037386065194</v>
      </c>
      <c r="F66" s="87">
        <v>2022</v>
      </c>
      <c r="G66" s="119">
        <v>71000</v>
      </c>
      <c r="H66" s="13">
        <f t="shared" si="6"/>
        <v>572580.6451612903</v>
      </c>
      <c r="I66" s="120">
        <v>48300</v>
      </c>
      <c r="J66" s="245">
        <v>49300</v>
      </c>
      <c r="K66" s="4"/>
      <c r="L66" s="690">
        <f t="shared" si="13"/>
        <v>10121</v>
      </c>
      <c r="M66" s="691">
        <v>10298</v>
      </c>
      <c r="N66" s="692">
        <v>175</v>
      </c>
      <c r="O66" s="491">
        <f t="shared" si="8"/>
      </c>
      <c r="P66">
        <f t="shared" si="9"/>
      </c>
      <c r="Q66">
        <f t="shared" si="10"/>
      </c>
      <c r="R66">
        <f t="shared" si="11"/>
      </c>
      <c r="S66">
        <f t="shared" si="12"/>
      </c>
    </row>
    <row r="67" spans="1:19" ht="12.75">
      <c r="A67" s="527">
        <v>2023</v>
      </c>
      <c r="B67" s="108">
        <v>203.13</v>
      </c>
      <c r="C67" s="12">
        <f t="shared" si="4"/>
        <v>8.939999999999998</v>
      </c>
      <c r="D67" s="98">
        <f t="shared" si="7"/>
        <v>0.025993206321075178</v>
      </c>
      <c r="E67" s="110">
        <f t="shared" si="3"/>
        <v>1.0259932063210753</v>
      </c>
      <c r="F67" s="87">
        <v>2023</v>
      </c>
      <c r="G67" s="119">
        <v>74300</v>
      </c>
      <c r="H67" s="13">
        <f t="shared" si="6"/>
        <v>599193.5483870967</v>
      </c>
      <c r="I67" s="120">
        <v>52500</v>
      </c>
      <c r="J67" s="245">
        <v>53500</v>
      </c>
      <c r="K67" s="4"/>
      <c r="L67" s="690">
        <f t="shared" si="13"/>
        <v>10299</v>
      </c>
      <c r="M67" s="691">
        <v>10475</v>
      </c>
      <c r="N67" s="692">
        <v>225</v>
      </c>
      <c r="O67" s="491">
        <f t="shared" si="8"/>
      </c>
      <c r="P67">
        <f t="shared" si="9"/>
      </c>
      <c r="Q67">
        <f t="shared" si="10"/>
      </c>
      <c r="R67">
        <f t="shared" si="11"/>
      </c>
      <c r="S67">
        <f t="shared" si="12"/>
      </c>
    </row>
    <row r="68" spans="1:19" ht="12.75">
      <c r="A68" s="527">
        <v>2024</v>
      </c>
      <c r="B68" s="108">
        <v>208.41</v>
      </c>
      <c r="C68" s="12">
        <f t="shared" si="4"/>
        <v>5.280000000000001</v>
      </c>
      <c r="D68" s="98">
        <f t="shared" si="7"/>
        <v>0.025993206321075178</v>
      </c>
      <c r="E68" s="110">
        <f t="shared" si="3"/>
        <v>0</v>
      </c>
      <c r="F68" s="87">
        <v>2024</v>
      </c>
      <c r="G68" s="119">
        <v>76200</v>
      </c>
      <c r="H68" s="13">
        <f t="shared" si="6"/>
        <v>614516.1290322581</v>
      </c>
      <c r="I68" s="120">
        <v>57300</v>
      </c>
      <c r="J68" s="245">
        <v>58500</v>
      </c>
      <c r="K68" s="4"/>
      <c r="L68" s="690">
        <f t="shared" si="13"/>
        <v>10476</v>
      </c>
      <c r="M68" s="691">
        <v>10653</v>
      </c>
      <c r="N68" s="692">
        <v>275</v>
      </c>
      <c r="O68" s="491">
        <f t="shared" si="8"/>
        <v>614516.1290322581</v>
      </c>
      <c r="P68">
        <f t="shared" si="9"/>
      </c>
      <c r="Q68">
        <f t="shared" si="10"/>
      </c>
      <c r="R68">
        <f t="shared" si="11"/>
      </c>
      <c r="S68">
        <f t="shared" si="12"/>
      </c>
    </row>
    <row r="69" spans="1:19" ht="12.75">
      <c r="A69" s="527">
        <v>2025</v>
      </c>
      <c r="B69" s="108"/>
      <c r="C69" s="12">
        <f t="shared" si="4"/>
      </c>
      <c r="D69" s="98">
        <f t="shared" si="7"/>
        <v>0.025993206321075178</v>
      </c>
      <c r="E69" s="110">
        <f t="shared" si="3"/>
      </c>
      <c r="F69" s="87">
        <v>2025</v>
      </c>
      <c r="G69" s="119"/>
      <c r="H69" s="13">
        <f t="shared" si="6"/>
        <v>0</v>
      </c>
      <c r="I69" s="120"/>
      <c r="J69" s="245"/>
      <c r="K69" s="4"/>
      <c r="L69" s="690">
        <f t="shared" si="13"/>
        <v>10654</v>
      </c>
      <c r="M69" s="691">
        <v>10830</v>
      </c>
      <c r="N69" s="692">
        <v>325</v>
      </c>
      <c r="O69" s="491">
        <f t="shared" si="8"/>
      </c>
      <c r="P69">
        <f t="shared" si="9"/>
        <v>2025</v>
      </c>
      <c r="Q69">
        <f t="shared" si="10"/>
        <v>2025</v>
      </c>
      <c r="R69">
        <f t="shared" si="11"/>
        <v>2025</v>
      </c>
      <c r="S69">
        <f t="shared" si="12"/>
        <v>2025</v>
      </c>
    </row>
    <row r="70" spans="1:19" ht="12.75">
      <c r="A70" s="527">
        <v>2026</v>
      </c>
      <c r="B70" s="108"/>
      <c r="C70" s="12">
        <f t="shared" si="4"/>
      </c>
      <c r="D70" s="98">
        <f t="shared" si="7"/>
      </c>
      <c r="E70" s="110">
        <f aca="true" t="shared" si="14" ref="E70:E95">IF(B70="","",SUM(B71/B70))</f>
      </c>
      <c r="F70" s="87">
        <v>2026</v>
      </c>
      <c r="G70" s="119"/>
      <c r="H70" s="13">
        <f t="shared" si="6"/>
        <v>0</v>
      </c>
      <c r="I70" s="120"/>
      <c r="J70" s="245"/>
      <c r="K70" s="4"/>
      <c r="L70" s="690">
        <f t="shared" si="13"/>
        <v>10831</v>
      </c>
      <c r="M70" s="691">
        <v>11009</v>
      </c>
      <c r="N70" s="692">
        <v>375</v>
      </c>
      <c r="O70" s="491">
        <f t="shared" si="8"/>
      </c>
      <c r="P70">
        <f t="shared" si="9"/>
        <v>2026</v>
      </c>
      <c r="Q70">
        <f t="shared" si="10"/>
        <v>2026</v>
      </c>
      <c r="R70">
        <f t="shared" si="11"/>
        <v>2026</v>
      </c>
      <c r="S70">
        <f t="shared" si="12"/>
        <v>2026</v>
      </c>
    </row>
    <row r="71" spans="1:19" ht="12.75">
      <c r="A71" s="527">
        <v>2027</v>
      </c>
      <c r="B71" s="108"/>
      <c r="C71" s="12">
        <f t="shared" si="4"/>
      </c>
      <c r="D71" s="98">
        <f t="shared" si="7"/>
      </c>
      <c r="E71" s="110">
        <f t="shared" si="14"/>
      </c>
      <c r="F71" s="87">
        <v>2027</v>
      </c>
      <c r="G71" s="119"/>
      <c r="H71" s="13">
        <f t="shared" si="6"/>
        <v>0</v>
      </c>
      <c r="I71" s="120"/>
      <c r="J71" s="245"/>
      <c r="K71" s="4"/>
      <c r="L71" s="690">
        <v>10903</v>
      </c>
      <c r="M71" s="691">
        <v>11186</v>
      </c>
      <c r="N71" s="692">
        <v>425</v>
      </c>
      <c r="O71" s="491">
        <f t="shared" si="8"/>
      </c>
      <c r="P71">
        <f t="shared" si="9"/>
        <v>2027</v>
      </c>
      <c r="Q71">
        <f t="shared" si="10"/>
        <v>2027</v>
      </c>
      <c r="R71">
        <f t="shared" si="11"/>
        <v>2027</v>
      </c>
      <c r="S71">
        <f t="shared" si="12"/>
        <v>2027</v>
      </c>
    </row>
    <row r="72" spans="1:19" ht="12.75">
      <c r="A72" s="527">
        <v>2028</v>
      </c>
      <c r="B72" s="108"/>
      <c r="C72" s="12">
        <f t="shared" si="4"/>
      </c>
      <c r="D72" s="98">
        <f t="shared" si="7"/>
      </c>
      <c r="E72" s="110">
        <f t="shared" si="14"/>
      </c>
      <c r="F72" s="87">
        <v>2028</v>
      </c>
      <c r="G72" s="119"/>
      <c r="H72" s="13">
        <f t="shared" si="6"/>
        <v>0</v>
      </c>
      <c r="I72" s="120"/>
      <c r="J72" s="245"/>
      <c r="K72" s="4"/>
      <c r="L72" s="690">
        <f t="shared" si="13"/>
        <v>11187</v>
      </c>
      <c r="M72" s="691">
        <v>11363</v>
      </c>
      <c r="N72" s="692">
        <v>475</v>
      </c>
      <c r="O72" s="491">
        <f t="shared" si="8"/>
      </c>
      <c r="P72">
        <f t="shared" si="9"/>
        <v>2028</v>
      </c>
      <c r="Q72">
        <f t="shared" si="10"/>
        <v>2028</v>
      </c>
      <c r="R72">
        <f t="shared" si="11"/>
        <v>2028</v>
      </c>
      <c r="S72">
        <f t="shared" si="12"/>
        <v>2028</v>
      </c>
    </row>
    <row r="73" spans="1:19" ht="12.75">
      <c r="A73" s="527">
        <v>2029</v>
      </c>
      <c r="B73" s="108"/>
      <c r="C73" s="12">
        <f t="shared" si="4"/>
      </c>
      <c r="D73" s="98">
        <f t="shared" si="7"/>
      </c>
      <c r="E73" s="110">
        <f t="shared" si="14"/>
      </c>
      <c r="F73" s="87">
        <v>2029</v>
      </c>
      <c r="G73" s="119"/>
      <c r="H73" s="13">
        <f t="shared" si="6"/>
        <v>0</v>
      </c>
      <c r="I73" s="120"/>
      <c r="J73" s="245"/>
      <c r="K73" s="4"/>
      <c r="L73" s="690">
        <f t="shared" si="13"/>
        <v>11364</v>
      </c>
      <c r="M73" s="691">
        <v>11541</v>
      </c>
      <c r="N73" s="692">
        <v>525</v>
      </c>
      <c r="O73" s="491">
        <f t="shared" si="8"/>
      </c>
      <c r="P73">
        <f t="shared" si="9"/>
        <v>2029</v>
      </c>
      <c r="Q73">
        <f t="shared" si="10"/>
        <v>2029</v>
      </c>
      <c r="R73">
        <f t="shared" si="11"/>
        <v>2029</v>
      </c>
      <c r="S73">
        <f t="shared" si="12"/>
        <v>2029</v>
      </c>
    </row>
    <row r="74" spans="1:19" ht="12.75">
      <c r="A74" s="527">
        <v>2030</v>
      </c>
      <c r="B74" s="108"/>
      <c r="C74" s="12">
        <f t="shared" si="4"/>
      </c>
      <c r="D74" s="98">
        <f t="shared" si="7"/>
      </c>
      <c r="E74" s="110">
        <f t="shared" si="14"/>
      </c>
      <c r="F74" s="87">
        <v>2030</v>
      </c>
      <c r="G74" s="119"/>
      <c r="H74" s="13">
        <f t="shared" si="6"/>
        <v>0</v>
      </c>
      <c r="I74" s="120"/>
      <c r="J74" s="245"/>
      <c r="K74" s="4"/>
      <c r="L74" s="690">
        <f t="shared" si="13"/>
        <v>11542</v>
      </c>
      <c r="M74" s="691">
        <v>11718</v>
      </c>
      <c r="N74" s="692">
        <v>575</v>
      </c>
      <c r="O74" s="491">
        <f t="shared" si="8"/>
      </c>
      <c r="P74">
        <f t="shared" si="9"/>
        <v>2030</v>
      </c>
      <c r="Q74">
        <f t="shared" si="10"/>
        <v>2030</v>
      </c>
      <c r="R74">
        <f t="shared" si="11"/>
        <v>2030</v>
      </c>
      <c r="S74">
        <f t="shared" si="12"/>
        <v>2030</v>
      </c>
    </row>
    <row r="75" spans="1:19" ht="12.75">
      <c r="A75" s="527">
        <v>2031</v>
      </c>
      <c r="B75" s="108"/>
      <c r="C75" s="12">
        <f t="shared" si="4"/>
      </c>
      <c r="D75" s="98">
        <f t="shared" si="7"/>
      </c>
      <c r="E75" s="110">
        <f t="shared" si="14"/>
      </c>
      <c r="F75" s="87">
        <v>2031</v>
      </c>
      <c r="G75" s="119"/>
      <c r="H75" s="13">
        <f t="shared" si="6"/>
        <v>0</v>
      </c>
      <c r="I75" s="120"/>
      <c r="J75" s="245"/>
      <c r="K75" s="4"/>
      <c r="L75" s="690">
        <f t="shared" si="13"/>
        <v>11719</v>
      </c>
      <c r="M75" s="691">
        <v>14914</v>
      </c>
      <c r="N75" s="692">
        <v>600</v>
      </c>
      <c r="O75" s="491">
        <f t="shared" si="8"/>
      </c>
      <c r="P75">
        <f t="shared" si="9"/>
        <v>2031</v>
      </c>
      <c r="Q75">
        <f t="shared" si="10"/>
        <v>2031</v>
      </c>
      <c r="R75">
        <f t="shared" si="11"/>
        <v>2031</v>
      </c>
      <c r="S75">
        <f t="shared" si="12"/>
        <v>2031</v>
      </c>
    </row>
    <row r="76" spans="1:19" ht="12.75">
      <c r="A76" s="527">
        <v>2032</v>
      </c>
      <c r="B76" s="108"/>
      <c r="C76" s="12">
        <f t="shared" si="4"/>
      </c>
      <c r="D76" s="98">
        <f t="shared" si="7"/>
      </c>
      <c r="E76" s="110">
        <f t="shared" si="14"/>
      </c>
      <c r="F76" s="87">
        <v>2032</v>
      </c>
      <c r="G76" s="119"/>
      <c r="H76" s="13">
        <f t="shared" si="6"/>
        <v>0</v>
      </c>
      <c r="I76" s="120"/>
      <c r="J76" s="245"/>
      <c r="K76" s="4"/>
      <c r="L76" s="690">
        <f t="shared" si="13"/>
        <v>14915</v>
      </c>
      <c r="M76" s="691">
        <v>15181</v>
      </c>
      <c r="N76" s="692">
        <v>575</v>
      </c>
      <c r="O76" s="491">
        <f t="shared" si="8"/>
      </c>
      <c r="P76">
        <f t="shared" si="9"/>
        <v>2032</v>
      </c>
      <c r="Q76">
        <f t="shared" si="10"/>
        <v>2032</v>
      </c>
      <c r="R76">
        <f t="shared" si="11"/>
        <v>2032</v>
      </c>
      <c r="S76">
        <f t="shared" si="12"/>
        <v>2032</v>
      </c>
    </row>
    <row r="77" spans="1:19" ht="12.75">
      <c r="A77" s="527">
        <v>2033</v>
      </c>
      <c r="B77" s="108"/>
      <c r="C77" s="12">
        <f t="shared" si="4"/>
      </c>
      <c r="D77" s="98">
        <f t="shared" si="7"/>
      </c>
      <c r="E77" s="110">
        <f t="shared" si="14"/>
      </c>
      <c r="F77" s="87">
        <v>2033</v>
      </c>
      <c r="G77" s="119"/>
      <c r="H77" s="13">
        <f t="shared" si="6"/>
        <v>0</v>
      </c>
      <c r="I77" s="120"/>
      <c r="J77" s="245"/>
      <c r="K77" s="4"/>
      <c r="L77" s="690">
        <f t="shared" si="13"/>
        <v>15182</v>
      </c>
      <c r="M77" s="691">
        <v>15447</v>
      </c>
      <c r="N77" s="692">
        <v>525</v>
      </c>
      <c r="O77" s="491">
        <f t="shared" si="8"/>
      </c>
      <c r="P77">
        <f t="shared" si="9"/>
        <v>2033</v>
      </c>
      <c r="Q77">
        <f t="shared" si="10"/>
        <v>2033</v>
      </c>
      <c r="R77">
        <f t="shared" si="11"/>
        <v>2033</v>
      </c>
      <c r="S77">
        <f t="shared" si="12"/>
        <v>2033</v>
      </c>
    </row>
    <row r="78" spans="1:19" ht="12.75">
      <c r="A78" s="527">
        <v>2034</v>
      </c>
      <c r="B78" s="108"/>
      <c r="C78" s="12">
        <f t="shared" si="4"/>
      </c>
      <c r="D78" s="98">
        <f t="shared" si="7"/>
      </c>
      <c r="E78" s="110">
        <f t="shared" si="14"/>
      </c>
      <c r="F78" s="87">
        <v>2034</v>
      </c>
      <c r="G78" s="119"/>
      <c r="H78" s="13">
        <f t="shared" si="6"/>
        <v>0</v>
      </c>
      <c r="I78" s="120"/>
      <c r="J78" s="245"/>
      <c r="K78" s="4"/>
      <c r="L78" s="690">
        <f t="shared" si="13"/>
        <v>15448</v>
      </c>
      <c r="M78" s="691">
        <v>15714</v>
      </c>
      <c r="N78" s="692">
        <v>475</v>
      </c>
      <c r="O78" s="491">
        <f t="shared" si="8"/>
      </c>
      <c r="P78">
        <f t="shared" si="9"/>
        <v>2034</v>
      </c>
      <c r="Q78">
        <f t="shared" si="10"/>
        <v>2034</v>
      </c>
      <c r="R78">
        <f t="shared" si="11"/>
        <v>2034</v>
      </c>
      <c r="S78">
        <f t="shared" si="12"/>
        <v>2034</v>
      </c>
    </row>
    <row r="79" spans="1:19" ht="12.75">
      <c r="A79" s="527">
        <v>2035</v>
      </c>
      <c r="B79" s="108"/>
      <c r="C79" s="12">
        <f t="shared" si="4"/>
      </c>
      <c r="D79" s="98">
        <f t="shared" si="7"/>
      </c>
      <c r="E79" s="110">
        <f t="shared" si="14"/>
      </c>
      <c r="F79" s="87">
        <v>2035</v>
      </c>
      <c r="G79" s="119"/>
      <c r="H79" s="13">
        <f t="shared" si="6"/>
        <v>0</v>
      </c>
      <c r="I79" s="120"/>
      <c r="J79" s="245"/>
      <c r="K79" s="4"/>
      <c r="L79" s="690">
        <f t="shared" si="13"/>
        <v>15715</v>
      </c>
      <c r="M79" s="691">
        <v>15980</v>
      </c>
      <c r="N79" s="692">
        <v>425</v>
      </c>
      <c r="O79" s="491">
        <f t="shared" si="8"/>
      </c>
      <c r="P79">
        <f t="shared" si="9"/>
        <v>2035</v>
      </c>
      <c r="Q79">
        <f t="shared" si="10"/>
        <v>2035</v>
      </c>
      <c r="R79">
        <f t="shared" si="11"/>
        <v>2035</v>
      </c>
      <c r="S79">
        <f t="shared" si="12"/>
        <v>2035</v>
      </c>
    </row>
    <row r="80" spans="1:19" ht="12.75">
      <c r="A80" s="527">
        <v>2036</v>
      </c>
      <c r="B80" s="108"/>
      <c r="C80" s="12">
        <f t="shared" si="4"/>
      </c>
      <c r="D80" s="98">
        <f t="shared" si="7"/>
      </c>
      <c r="E80" s="110">
        <f t="shared" si="14"/>
      </c>
      <c r="F80" s="87">
        <v>2036</v>
      </c>
      <c r="G80" s="119"/>
      <c r="H80" s="13">
        <f t="shared" si="6"/>
        <v>0</v>
      </c>
      <c r="I80" s="120"/>
      <c r="J80" s="245"/>
      <c r="K80" s="4"/>
      <c r="L80" s="690">
        <f t="shared" si="13"/>
        <v>15981</v>
      </c>
      <c r="M80" s="691">
        <v>16246</v>
      </c>
      <c r="N80" s="692">
        <v>375</v>
      </c>
      <c r="O80" s="491">
        <f t="shared" si="8"/>
      </c>
      <c r="P80">
        <f t="shared" si="9"/>
        <v>2036</v>
      </c>
      <c r="Q80">
        <f t="shared" si="10"/>
        <v>2036</v>
      </c>
      <c r="R80">
        <f t="shared" si="11"/>
        <v>2036</v>
      </c>
      <c r="S80">
        <f t="shared" si="12"/>
        <v>2036</v>
      </c>
    </row>
    <row r="81" spans="1:19" ht="12.75">
      <c r="A81" s="527">
        <v>2037</v>
      </c>
      <c r="B81" s="108"/>
      <c r="C81" s="12">
        <f t="shared" si="4"/>
      </c>
      <c r="D81" s="98">
        <f t="shared" si="7"/>
      </c>
      <c r="E81" s="110">
        <f t="shared" si="14"/>
      </c>
      <c r="F81" s="87">
        <v>2037</v>
      </c>
      <c r="G81" s="119"/>
      <c r="H81" s="13">
        <f t="shared" si="6"/>
        <v>0</v>
      </c>
      <c r="I81" s="120"/>
      <c r="J81" s="245"/>
      <c r="K81" s="4"/>
      <c r="L81" s="690">
        <f t="shared" si="13"/>
        <v>16247</v>
      </c>
      <c r="M81" s="691">
        <v>16512</v>
      </c>
      <c r="N81" s="692">
        <v>325</v>
      </c>
      <c r="O81" s="491">
        <f t="shared" si="8"/>
      </c>
      <c r="P81">
        <f t="shared" si="9"/>
        <v>2037</v>
      </c>
      <c r="Q81">
        <f t="shared" si="10"/>
        <v>2037</v>
      </c>
      <c r="R81">
        <f t="shared" si="11"/>
        <v>2037</v>
      </c>
      <c r="S81">
        <f t="shared" si="12"/>
        <v>2037</v>
      </c>
    </row>
    <row r="82" spans="1:19" ht="12.75">
      <c r="A82" s="527">
        <v>2038</v>
      </c>
      <c r="B82" s="108"/>
      <c r="C82" s="12">
        <f t="shared" si="4"/>
      </c>
      <c r="D82" s="98">
        <f t="shared" si="7"/>
      </c>
      <c r="E82" s="110">
        <f t="shared" si="14"/>
      </c>
      <c r="F82" s="87">
        <v>2038</v>
      </c>
      <c r="G82" s="119"/>
      <c r="H82" s="13">
        <f t="shared" si="6"/>
        <v>0</v>
      </c>
      <c r="I82" s="120"/>
      <c r="J82" s="245"/>
      <c r="K82" s="4"/>
      <c r="L82" s="690">
        <f t="shared" si="13"/>
        <v>16513</v>
      </c>
      <c r="M82" s="691">
        <v>16779</v>
      </c>
      <c r="N82" s="692">
        <v>275</v>
      </c>
      <c r="O82" s="491">
        <f t="shared" si="8"/>
      </c>
      <c r="P82">
        <f t="shared" si="9"/>
        <v>2038</v>
      </c>
      <c r="Q82">
        <f t="shared" si="10"/>
        <v>2038</v>
      </c>
      <c r="R82">
        <f t="shared" si="11"/>
        <v>2038</v>
      </c>
      <c r="S82">
        <f t="shared" si="12"/>
        <v>2038</v>
      </c>
    </row>
    <row r="83" spans="1:19" ht="12.75">
      <c r="A83" s="527">
        <v>2039</v>
      </c>
      <c r="B83" s="108"/>
      <c r="C83" s="12">
        <f t="shared" si="4"/>
      </c>
      <c r="D83" s="98">
        <f t="shared" si="7"/>
      </c>
      <c r="E83" s="110">
        <f t="shared" si="14"/>
      </c>
      <c r="F83" s="87">
        <v>2039</v>
      </c>
      <c r="G83" s="119"/>
      <c r="H83" s="13">
        <f t="shared" si="6"/>
        <v>0</v>
      </c>
      <c r="I83" s="120"/>
      <c r="J83" s="245"/>
      <c r="K83" s="4"/>
      <c r="L83" s="690">
        <f t="shared" si="13"/>
        <v>16780</v>
      </c>
      <c r="M83" s="691">
        <v>17045</v>
      </c>
      <c r="N83" s="692">
        <v>225</v>
      </c>
      <c r="O83" s="491">
        <f t="shared" si="8"/>
      </c>
      <c r="P83">
        <f t="shared" si="9"/>
        <v>2039</v>
      </c>
      <c r="Q83">
        <f t="shared" si="10"/>
        <v>2039</v>
      </c>
      <c r="R83">
        <f t="shared" si="11"/>
        <v>2039</v>
      </c>
      <c r="S83">
        <f t="shared" si="12"/>
        <v>2039</v>
      </c>
    </row>
    <row r="84" spans="1:19" ht="12.75">
      <c r="A84" s="527">
        <v>2040</v>
      </c>
      <c r="B84" s="108"/>
      <c r="C84" s="12">
        <f t="shared" si="4"/>
      </c>
      <c r="D84" s="98">
        <f t="shared" si="7"/>
      </c>
      <c r="E84" s="110">
        <f t="shared" si="14"/>
      </c>
      <c r="F84" s="87">
        <v>2040</v>
      </c>
      <c r="G84" s="119"/>
      <c r="H84" s="13">
        <f t="shared" si="6"/>
        <v>0</v>
      </c>
      <c r="I84" s="120"/>
      <c r="J84" s="245"/>
      <c r="K84" s="4"/>
      <c r="L84" s="690">
        <f t="shared" si="13"/>
        <v>17046</v>
      </c>
      <c r="M84" s="691">
        <v>17311</v>
      </c>
      <c r="N84" s="692">
        <v>175</v>
      </c>
      <c r="O84" s="491">
        <f t="shared" si="8"/>
      </c>
      <c r="P84">
        <f t="shared" si="9"/>
        <v>2040</v>
      </c>
      <c r="Q84">
        <f t="shared" si="10"/>
        <v>2040</v>
      </c>
      <c r="R84">
        <f t="shared" si="11"/>
        <v>2040</v>
      </c>
      <c r="S84">
        <f t="shared" si="12"/>
        <v>2040</v>
      </c>
    </row>
    <row r="85" spans="1:19" ht="12.75">
      <c r="A85" s="527">
        <v>2041</v>
      </c>
      <c r="B85" s="108"/>
      <c r="C85" s="12">
        <f t="shared" si="4"/>
      </c>
      <c r="D85" s="98">
        <f t="shared" si="7"/>
      </c>
      <c r="E85" s="110">
        <f t="shared" si="14"/>
      </c>
      <c r="F85" s="87">
        <v>2041</v>
      </c>
      <c r="G85" s="119"/>
      <c r="H85" s="13">
        <f t="shared" si="6"/>
        <v>0</v>
      </c>
      <c r="I85" s="120"/>
      <c r="J85" s="245"/>
      <c r="K85" s="4"/>
      <c r="L85" s="690">
        <f t="shared" si="13"/>
        <v>17312</v>
      </c>
      <c r="M85" s="691">
        <v>17578</v>
      </c>
      <c r="N85" s="692">
        <v>125</v>
      </c>
      <c r="O85" s="491">
        <f t="shared" si="8"/>
      </c>
      <c r="P85">
        <f t="shared" si="9"/>
        <v>2041</v>
      </c>
      <c r="Q85">
        <f t="shared" si="10"/>
        <v>2041</v>
      </c>
      <c r="R85">
        <f t="shared" si="11"/>
        <v>2041</v>
      </c>
      <c r="S85">
        <f t="shared" si="12"/>
        <v>2041</v>
      </c>
    </row>
    <row r="86" spans="1:19" ht="12.75">
      <c r="A86" s="527">
        <v>2042</v>
      </c>
      <c r="B86" s="108"/>
      <c r="C86" s="12">
        <f t="shared" si="4"/>
      </c>
      <c r="D86" s="98">
        <f t="shared" si="7"/>
      </c>
      <c r="E86" s="110">
        <f t="shared" si="14"/>
      </c>
      <c r="F86" s="87">
        <v>2042</v>
      </c>
      <c r="G86" s="119"/>
      <c r="H86" s="13">
        <f t="shared" si="6"/>
        <v>0</v>
      </c>
      <c r="I86" s="120"/>
      <c r="J86" s="245"/>
      <c r="K86" s="4"/>
      <c r="L86" s="690">
        <f t="shared" si="13"/>
        <v>17579</v>
      </c>
      <c r="M86" s="691">
        <v>17844</v>
      </c>
      <c r="N86" s="692">
        <v>75</v>
      </c>
      <c r="O86" s="491">
        <f t="shared" si="8"/>
      </c>
      <c r="P86">
        <f t="shared" si="9"/>
        <v>2042</v>
      </c>
      <c r="Q86">
        <f t="shared" si="10"/>
        <v>2042</v>
      </c>
      <c r="R86">
        <f t="shared" si="11"/>
        <v>2042</v>
      </c>
      <c r="S86">
        <f t="shared" si="12"/>
        <v>2042</v>
      </c>
    </row>
    <row r="87" spans="1:19" ht="12.75">
      <c r="A87" s="527">
        <v>2043</v>
      </c>
      <c r="B87" s="108"/>
      <c r="C87" s="12">
        <f t="shared" si="4"/>
      </c>
      <c r="D87" s="98">
        <f t="shared" si="7"/>
      </c>
      <c r="E87" s="110">
        <f t="shared" si="14"/>
      </c>
      <c r="F87" s="87">
        <v>2043</v>
      </c>
      <c r="G87" s="119"/>
      <c r="H87" s="13">
        <f t="shared" si="6"/>
        <v>0</v>
      </c>
      <c r="I87" s="120"/>
      <c r="J87" s="245"/>
      <c r="K87" s="4"/>
      <c r="L87" s="693">
        <f t="shared" si="13"/>
        <v>17845</v>
      </c>
      <c r="M87" s="694">
        <v>18112</v>
      </c>
      <c r="N87" s="695">
        <v>25</v>
      </c>
      <c r="O87" s="491">
        <f t="shared" si="8"/>
      </c>
      <c r="P87">
        <f t="shared" si="9"/>
        <v>2043</v>
      </c>
      <c r="Q87">
        <f t="shared" si="10"/>
        <v>2043</v>
      </c>
      <c r="R87">
        <f t="shared" si="11"/>
        <v>2043</v>
      </c>
      <c r="S87">
        <f t="shared" si="12"/>
        <v>2043</v>
      </c>
    </row>
    <row r="88" spans="1:19" ht="12.75">
      <c r="A88" s="527">
        <v>2044</v>
      </c>
      <c r="B88" s="108"/>
      <c r="C88" s="12">
        <f t="shared" si="4"/>
      </c>
      <c r="D88" s="98">
        <f t="shared" si="7"/>
      </c>
      <c r="E88" s="110">
        <f t="shared" si="14"/>
      </c>
      <c r="F88" s="87">
        <v>2044</v>
      </c>
      <c r="G88" s="119"/>
      <c r="H88" s="13">
        <f t="shared" si="6"/>
        <v>0</v>
      </c>
      <c r="I88" s="120"/>
      <c r="J88" s="245"/>
      <c r="K88" s="4"/>
      <c r="L88" s="4"/>
      <c r="M88" s="4"/>
      <c r="N88" s="4"/>
      <c r="O88" s="491">
        <f t="shared" si="8"/>
      </c>
      <c r="P88">
        <f t="shared" si="9"/>
        <v>2044</v>
      </c>
      <c r="Q88">
        <f t="shared" si="10"/>
        <v>2044</v>
      </c>
      <c r="R88">
        <f t="shared" si="11"/>
        <v>2044</v>
      </c>
      <c r="S88">
        <f t="shared" si="12"/>
        <v>2044</v>
      </c>
    </row>
    <row r="89" spans="1:19" ht="12.75">
      <c r="A89" s="527">
        <v>2045</v>
      </c>
      <c r="B89" s="108"/>
      <c r="C89" s="12">
        <f t="shared" si="4"/>
      </c>
      <c r="D89" s="98">
        <f t="shared" si="7"/>
      </c>
      <c r="E89" s="110">
        <f t="shared" si="14"/>
      </c>
      <c r="F89" s="87">
        <v>2045</v>
      </c>
      <c r="G89" s="119"/>
      <c r="H89" s="13">
        <f t="shared" si="6"/>
        <v>0</v>
      </c>
      <c r="I89" s="120"/>
      <c r="J89" s="245"/>
      <c r="K89" s="4"/>
      <c r="L89" s="4"/>
      <c r="M89" s="4"/>
      <c r="N89" s="4"/>
      <c r="O89" s="491">
        <f t="shared" si="8"/>
      </c>
      <c r="P89">
        <f t="shared" si="9"/>
        <v>2045</v>
      </c>
      <c r="Q89">
        <f t="shared" si="10"/>
        <v>2045</v>
      </c>
      <c r="R89">
        <f t="shared" si="11"/>
        <v>2045</v>
      </c>
      <c r="S89">
        <f t="shared" si="12"/>
        <v>2045</v>
      </c>
    </row>
    <row r="90" spans="1:19" ht="12.75">
      <c r="A90" s="527">
        <v>2046</v>
      </c>
      <c r="B90" s="108"/>
      <c r="C90" s="12">
        <f t="shared" si="4"/>
      </c>
      <c r="D90" s="98">
        <f t="shared" si="7"/>
      </c>
      <c r="E90" s="110">
        <f t="shared" si="14"/>
      </c>
      <c r="F90" s="87">
        <v>2046</v>
      </c>
      <c r="G90" s="119"/>
      <c r="H90" s="13">
        <f t="shared" si="6"/>
        <v>0</v>
      </c>
      <c r="I90" s="120"/>
      <c r="J90" s="245"/>
      <c r="K90" s="4"/>
      <c r="L90" s="4"/>
      <c r="M90" s="4"/>
      <c r="N90" s="4"/>
      <c r="O90" s="491">
        <f t="shared" si="8"/>
      </c>
      <c r="P90">
        <f t="shared" si="9"/>
        <v>2046</v>
      </c>
      <c r="Q90">
        <f t="shared" si="10"/>
        <v>2046</v>
      </c>
      <c r="R90">
        <f t="shared" si="11"/>
        <v>2046</v>
      </c>
      <c r="S90">
        <f t="shared" si="12"/>
        <v>2046</v>
      </c>
    </row>
    <row r="91" spans="1:19" ht="12.75">
      <c r="A91" s="527">
        <v>2047</v>
      </c>
      <c r="B91" s="108"/>
      <c r="C91" s="12">
        <f t="shared" si="4"/>
      </c>
      <c r="D91" s="98">
        <f t="shared" si="7"/>
      </c>
      <c r="E91" s="110">
        <f t="shared" si="14"/>
      </c>
      <c r="F91" s="87">
        <v>2047</v>
      </c>
      <c r="G91" s="119"/>
      <c r="H91" s="13">
        <f t="shared" si="6"/>
        <v>0</v>
      </c>
      <c r="I91" s="120"/>
      <c r="J91" s="245"/>
      <c r="K91" s="4"/>
      <c r="L91" s="4"/>
      <c r="M91" s="4"/>
      <c r="N91" s="4"/>
      <c r="O91" s="491">
        <f t="shared" si="8"/>
      </c>
      <c r="P91">
        <f t="shared" si="9"/>
        <v>2047</v>
      </c>
      <c r="Q91">
        <f t="shared" si="10"/>
        <v>2047</v>
      </c>
      <c r="R91">
        <f t="shared" si="11"/>
        <v>2047</v>
      </c>
      <c r="S91">
        <f t="shared" si="12"/>
        <v>2047</v>
      </c>
    </row>
    <row r="92" spans="1:19" ht="12.75">
      <c r="A92" s="527">
        <v>2048</v>
      </c>
      <c r="B92" s="108"/>
      <c r="C92" s="12">
        <f t="shared" si="4"/>
      </c>
      <c r="D92" s="98">
        <f t="shared" si="7"/>
      </c>
      <c r="E92" s="110">
        <f t="shared" si="14"/>
      </c>
      <c r="F92" s="87">
        <v>2048</v>
      </c>
      <c r="G92" s="119"/>
      <c r="H92" s="13">
        <f t="shared" si="6"/>
        <v>0</v>
      </c>
      <c r="I92" s="120"/>
      <c r="J92" s="245"/>
      <c r="K92" s="4"/>
      <c r="L92" s="4"/>
      <c r="M92" s="4"/>
      <c r="N92" s="4"/>
      <c r="O92" s="491">
        <f t="shared" si="8"/>
      </c>
      <c r="P92">
        <f t="shared" si="9"/>
        <v>2048</v>
      </c>
      <c r="Q92">
        <f t="shared" si="10"/>
        <v>2048</v>
      </c>
      <c r="R92">
        <f t="shared" si="11"/>
        <v>2048</v>
      </c>
      <c r="S92">
        <f t="shared" si="12"/>
        <v>2048</v>
      </c>
    </row>
    <row r="93" spans="1:19" ht="12.75">
      <c r="A93" s="527">
        <v>2049</v>
      </c>
      <c r="B93" s="108"/>
      <c r="C93" s="12">
        <f t="shared" si="4"/>
      </c>
      <c r="D93" s="98">
        <f t="shared" si="7"/>
      </c>
      <c r="E93" s="110">
        <f t="shared" si="14"/>
      </c>
      <c r="F93" s="87">
        <v>2049</v>
      </c>
      <c r="G93" s="119"/>
      <c r="H93" s="13">
        <f t="shared" si="6"/>
        <v>0</v>
      </c>
      <c r="I93" s="120"/>
      <c r="J93" s="245"/>
      <c r="K93" s="4"/>
      <c r="L93" s="4"/>
      <c r="M93" s="4"/>
      <c r="N93" s="4"/>
      <c r="O93" s="491">
        <f t="shared" si="8"/>
      </c>
      <c r="P93">
        <f t="shared" si="9"/>
        <v>2049</v>
      </c>
      <c r="Q93">
        <f t="shared" si="10"/>
        <v>2049</v>
      </c>
      <c r="R93">
        <f t="shared" si="11"/>
        <v>2049</v>
      </c>
      <c r="S93">
        <f t="shared" si="12"/>
        <v>2049</v>
      </c>
    </row>
    <row r="94" spans="1:19" ht="12.75">
      <c r="A94" s="527">
        <v>2050</v>
      </c>
      <c r="B94" s="108"/>
      <c r="C94" s="12">
        <f t="shared" si="4"/>
      </c>
      <c r="D94" s="98">
        <f t="shared" si="7"/>
      </c>
      <c r="E94" s="110">
        <f t="shared" si="14"/>
      </c>
      <c r="F94" s="87">
        <v>2050</v>
      </c>
      <c r="G94" s="119"/>
      <c r="H94" s="13">
        <f t="shared" si="6"/>
        <v>0</v>
      </c>
      <c r="I94" s="120"/>
      <c r="J94" s="245"/>
      <c r="K94" s="4"/>
      <c r="L94" s="4"/>
      <c r="M94" s="4"/>
      <c r="N94" s="4"/>
      <c r="O94" s="491">
        <f t="shared" si="8"/>
      </c>
      <c r="P94">
        <f t="shared" si="9"/>
        <v>2050</v>
      </c>
      <c r="Q94">
        <f t="shared" si="10"/>
        <v>2050</v>
      </c>
      <c r="R94">
        <f t="shared" si="11"/>
        <v>2050</v>
      </c>
      <c r="S94">
        <f t="shared" si="12"/>
        <v>2050</v>
      </c>
    </row>
    <row r="95" spans="1:19" ht="12.75">
      <c r="A95" s="78">
        <v>2051</v>
      </c>
      <c r="B95" s="528"/>
      <c r="C95" s="528">
        <f t="shared" si="4"/>
      </c>
      <c r="D95" s="529">
        <f>IF(C94="","",IF(B124="",D94,SUM(C124/B95)))</f>
      </c>
      <c r="E95" s="530">
        <f t="shared" si="14"/>
      </c>
      <c r="F95" s="532">
        <v>2051</v>
      </c>
      <c r="G95" s="542"/>
      <c r="H95" s="531">
        <f t="shared" si="6"/>
        <v>0</v>
      </c>
      <c r="I95" s="531"/>
      <c r="J95" s="428"/>
      <c r="K95" s="4"/>
      <c r="L95" s="4"/>
      <c r="M95" s="4"/>
      <c r="N95" s="4"/>
      <c r="O95" s="491">
        <f>IF(AND(H95&gt;0,H124=0),H95,"")</f>
      </c>
      <c r="P95">
        <f t="shared" si="9"/>
        <v>2051</v>
      </c>
      <c r="Q95">
        <f t="shared" si="10"/>
        <v>2051</v>
      </c>
      <c r="R95">
        <f t="shared" si="11"/>
        <v>2051</v>
      </c>
      <c r="S95">
        <f t="shared" si="12"/>
        <v>2051</v>
      </c>
    </row>
    <row r="96" spans="1:16" ht="12.75">
      <c r="A96" s="4"/>
      <c r="B96" s="66" t="s">
        <v>45</v>
      </c>
      <c r="C96" s="4"/>
      <c r="D96" s="4"/>
      <c r="E96" s="4"/>
      <c r="F96" s="14"/>
      <c r="G96" s="68" t="s">
        <v>22</v>
      </c>
      <c r="H96" s="4"/>
      <c r="I96" s="68" t="s">
        <v>23</v>
      </c>
      <c r="J96" s="68" t="s">
        <v>22</v>
      </c>
      <c r="K96" s="4"/>
      <c r="L96" s="4"/>
      <c r="M96" s="4"/>
      <c r="N96" s="4"/>
      <c r="P96">
        <f t="shared" si="9"/>
      </c>
    </row>
    <row r="97" spans="1:19" ht="12.75">
      <c r="A97" s="4"/>
      <c r="B97" s="67" t="s">
        <v>24</v>
      </c>
      <c r="C97" s="4"/>
      <c r="D97" s="4"/>
      <c r="E97" s="4"/>
      <c r="F97" s="14"/>
      <c r="G97" s="68" t="s">
        <v>24</v>
      </c>
      <c r="H97" s="4"/>
      <c r="I97" s="68" t="s">
        <v>24</v>
      </c>
      <c r="J97" s="68" t="s">
        <v>24</v>
      </c>
      <c r="K97" s="4"/>
      <c r="L97" s="4"/>
      <c r="M97" s="4"/>
      <c r="N97" s="4"/>
      <c r="P97">
        <f>SMALL(P53:P95,1)</f>
        <v>2025</v>
      </c>
      <c r="Q97">
        <f>SMALL(Q53:Q95,1)</f>
        <v>2025</v>
      </c>
      <c r="R97">
        <f>SMALL(R53:R95,1)</f>
        <v>2025</v>
      </c>
      <c r="S97">
        <f>SMALL(S53:S95,1)</f>
        <v>2025</v>
      </c>
    </row>
    <row r="98" spans="1:19" ht="12.75">
      <c r="A98" s="10"/>
      <c r="B98" s="8" t="s">
        <v>84</v>
      </c>
      <c r="C98" s="8"/>
      <c r="D98" s="98"/>
      <c r="E98" s="8"/>
      <c r="F98" s="8"/>
      <c r="G98" s="8" t="s">
        <v>85</v>
      </c>
      <c r="H98" s="8"/>
      <c r="I98" s="4" t="s">
        <v>86</v>
      </c>
      <c r="J98" s="4" t="s">
        <v>213</v>
      </c>
      <c r="K98" s="4"/>
      <c r="L98" s="4"/>
      <c r="M98" s="4"/>
      <c r="N98" s="4"/>
      <c r="O98" s="493" t="s">
        <v>412</v>
      </c>
      <c r="P98" s="85">
        <f>SUM(P97-1)</f>
        <v>2024</v>
      </c>
      <c r="Q98" s="85">
        <f>SUM(Q97-1)</f>
        <v>2024</v>
      </c>
      <c r="R98" s="85">
        <f>SUM(R97-1)</f>
        <v>2024</v>
      </c>
      <c r="S98" s="85">
        <f>SUM(S97-1)</f>
        <v>2024</v>
      </c>
    </row>
    <row r="99" spans="1:14" ht="12.75">
      <c r="A99" s="10"/>
      <c r="B99" s="8"/>
      <c r="C99" s="8"/>
      <c r="D99" s="98"/>
      <c r="E99" s="8"/>
      <c r="F99" s="8"/>
      <c r="G99" s="8"/>
      <c r="H99" s="8"/>
      <c r="I99" s="4"/>
      <c r="J99" s="4" t="s">
        <v>86</v>
      </c>
      <c r="K99" s="4"/>
      <c r="L99" s="4"/>
      <c r="M99" s="4"/>
      <c r="N99" s="4"/>
    </row>
    <row r="100" spans="1:14" ht="12.75">
      <c r="A100" s="10"/>
      <c r="B100" s="8"/>
      <c r="C100" s="8"/>
      <c r="D100" s="98"/>
      <c r="E100" s="8"/>
      <c r="F100" s="8"/>
      <c r="G100" s="8"/>
      <c r="H100" s="10" t="s">
        <v>408</v>
      </c>
      <c r="I100" s="4"/>
      <c r="J100" s="4"/>
      <c r="K100" s="4"/>
      <c r="L100" s="4"/>
      <c r="M100" s="4"/>
      <c r="N100" s="4"/>
    </row>
    <row r="101" spans="1:14" ht="12.75">
      <c r="A101" s="10"/>
      <c r="B101" s="525">
        <v>40168</v>
      </c>
      <c r="C101" s="526">
        <v>0.3541666666666667</v>
      </c>
      <c r="D101" s="98"/>
      <c r="E101" s="8"/>
      <c r="F101" s="8"/>
      <c r="G101" s="8"/>
      <c r="H101" s="13">
        <f>SUM(O52:O94)</f>
        <v>614516.1290322581</v>
      </c>
      <c r="I101" s="4"/>
      <c r="J101" s="4"/>
      <c r="K101" s="4"/>
      <c r="L101" s="84" t="s">
        <v>259</v>
      </c>
      <c r="M101" s="550">
        <v>45292</v>
      </c>
      <c r="N101" s="4"/>
    </row>
    <row r="102" spans="1:8" ht="12.75">
      <c r="A102" s="51"/>
      <c r="B102" s="104"/>
      <c r="C102" s="104"/>
      <c r="D102" s="101"/>
      <c r="E102" s="102"/>
      <c r="F102" s="103"/>
      <c r="G102" s="102"/>
      <c r="H102" s="102"/>
    </row>
    <row r="103" spans="1:8" ht="12.75">
      <c r="A103" s="51"/>
      <c r="B103" s="104"/>
      <c r="C103" s="104"/>
      <c r="D103" s="101"/>
      <c r="E103" s="102"/>
      <c r="F103" s="103"/>
      <c r="G103" s="102"/>
      <c r="H103" s="102"/>
    </row>
    <row r="104" spans="1:8" ht="12.75">
      <c r="A104" s="51"/>
      <c r="B104" s="104"/>
      <c r="C104" s="104"/>
      <c r="D104" s="101"/>
      <c r="E104" s="102"/>
      <c r="F104" s="103"/>
      <c r="G104" s="102"/>
      <c r="H104" s="102"/>
    </row>
    <row r="105" spans="1:8" ht="12.75">
      <c r="A105" s="51"/>
      <c r="B105" s="104"/>
      <c r="C105" s="104"/>
      <c r="D105" s="101"/>
      <c r="E105" s="102"/>
      <c r="F105" s="103"/>
      <c r="G105" s="102"/>
      <c r="H105" s="102"/>
    </row>
    <row r="106" spans="1:8" ht="12.75">
      <c r="A106" s="51"/>
      <c r="B106" s="104"/>
      <c r="C106" s="104"/>
      <c r="D106" s="101"/>
      <c r="E106" s="102"/>
      <c r="F106" s="103"/>
      <c r="G106" s="102"/>
      <c r="H106" s="102"/>
    </row>
    <row r="107" spans="1:8" ht="12.75">
      <c r="A107" s="51"/>
      <c r="B107" s="104"/>
      <c r="C107" s="104"/>
      <c r="D107" s="101"/>
      <c r="E107" s="102"/>
      <c r="F107" s="103"/>
      <c r="G107" s="102"/>
      <c r="H107" s="102"/>
    </row>
    <row r="108" spans="1:8" ht="12.75">
      <c r="A108" s="51"/>
      <c r="B108" s="104"/>
      <c r="C108" s="104"/>
      <c r="D108" s="101"/>
      <c r="E108" s="102"/>
      <c r="F108" s="103"/>
      <c r="G108" s="102"/>
      <c r="H108" s="102"/>
    </row>
    <row r="109" spans="1:8" ht="12.75">
      <c r="A109" s="51"/>
      <c r="B109" s="104"/>
      <c r="C109" s="104"/>
      <c r="D109" s="101"/>
      <c r="E109" s="102"/>
      <c r="F109" s="103"/>
      <c r="G109" s="102"/>
      <c r="H109" s="102"/>
    </row>
    <row r="110" spans="1:8" ht="12.75">
      <c r="A110" s="51"/>
      <c r="B110" s="104"/>
      <c r="C110" s="104"/>
      <c r="D110" s="101"/>
      <c r="E110" s="102"/>
      <c r="F110" s="103"/>
      <c r="G110" s="102"/>
      <c r="H110" s="102"/>
    </row>
    <row r="111" spans="1:8" ht="12.75">
      <c r="A111" s="51"/>
      <c r="B111" s="104"/>
      <c r="C111" s="104"/>
      <c r="D111" s="101"/>
      <c r="E111" s="102"/>
      <c r="F111" s="103"/>
      <c r="G111" s="102"/>
      <c r="H111" s="102"/>
    </row>
    <row r="112" spans="1:8" ht="12.75">
      <c r="A112" s="51"/>
      <c r="B112" s="104"/>
      <c r="C112" s="104"/>
      <c r="D112" s="101"/>
      <c r="E112" s="102"/>
      <c r="F112" s="103"/>
      <c r="G112" s="102"/>
      <c r="H112" s="102"/>
    </row>
    <row r="113" spans="1:8" ht="12.75">
      <c r="A113" s="51"/>
      <c r="B113" s="104"/>
      <c r="C113" s="104"/>
      <c r="D113" s="101"/>
      <c r="E113" s="102"/>
      <c r="F113" s="103"/>
      <c r="G113" s="102"/>
      <c r="H113" s="102"/>
    </row>
    <row r="114" spans="1:8" ht="12.75">
      <c r="A114" s="51"/>
      <c r="B114" s="104"/>
      <c r="C114" s="104"/>
      <c r="D114" s="101"/>
      <c r="E114" s="102"/>
      <c r="F114" s="103"/>
      <c r="G114" s="102"/>
      <c r="H114" s="102"/>
    </row>
    <row r="115" spans="1:8" ht="12.75">
      <c r="A115" s="102"/>
      <c r="B115" s="102"/>
      <c r="C115" s="102"/>
      <c r="D115" s="102"/>
      <c r="E115" s="102"/>
      <c r="F115" s="103"/>
      <c r="G115" s="102"/>
      <c r="H115" s="102"/>
    </row>
    <row r="116" spans="1:8" ht="12.75">
      <c r="A116" s="102"/>
      <c r="B116" s="102"/>
      <c r="C116" s="102"/>
      <c r="D116" s="102"/>
      <c r="E116" s="102"/>
      <c r="F116" s="103"/>
      <c r="G116" s="102"/>
      <c r="H116" s="102"/>
    </row>
  </sheetData>
  <sheetProtection password="C248" sheet="1" objects="1" scenarios="1"/>
  <mergeCells count="1">
    <mergeCell ref="L17:M17"/>
  </mergeCells>
  <printOptions/>
  <pageMargins left="0.7480314960629921" right="0.15748031496062992" top="0.984251968503937" bottom="0.984251968503937" header="0.5118110236220472" footer="0.5118110236220472"/>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H50"/>
  <sheetViews>
    <sheetView zoomScale="115" zoomScaleNormal="115" zoomScalePageLayoutView="0" workbookViewId="0" topLeftCell="A1">
      <selection activeCell="A1" sqref="A1"/>
    </sheetView>
  </sheetViews>
  <sheetFormatPr defaultColWidth="9.140625" defaultRowHeight="12.75"/>
  <cols>
    <col min="2" max="2" width="11.00390625" style="0" customWidth="1"/>
    <col min="3" max="3" width="14.8515625" style="0" customWidth="1"/>
    <col min="4" max="4" width="10.28125" style="0" bestFit="1" customWidth="1"/>
    <col min="6" max="6" width="15.00390625" style="0" customWidth="1"/>
    <col min="7" max="7" width="10.28125" style="0" bestFit="1" customWidth="1"/>
  </cols>
  <sheetData>
    <row r="1" spans="1:8" s="669" customFormat="1" ht="15.75">
      <c r="A1" s="670"/>
      <c r="B1" s="670" t="s">
        <v>520</v>
      </c>
      <c r="C1" s="670"/>
      <c r="D1" s="670"/>
      <c r="E1" s="670"/>
      <c r="F1" s="670"/>
      <c r="G1" s="670"/>
      <c r="H1" s="670"/>
    </row>
    <row r="2" spans="1:8" ht="12.75">
      <c r="A2" s="167"/>
      <c r="B2" s="167"/>
      <c r="C2" s="167"/>
      <c r="D2" s="167"/>
      <c r="E2" s="167"/>
      <c r="F2" s="167"/>
      <c r="G2" s="167"/>
      <c r="H2" s="167"/>
    </row>
    <row r="3" spans="1:8" ht="12.75">
      <c r="A3" s="167"/>
      <c r="B3" s="167" t="s">
        <v>16</v>
      </c>
      <c r="C3" s="204">
        <f>IF(FAKTA!K41="","",FAKTA!K41+'ink.pens.tillägg'!E7)</f>
      </c>
      <c r="D3" s="168" t="s">
        <v>527</v>
      </c>
      <c r="E3" s="167"/>
      <c r="F3" s="671" t="s">
        <v>1</v>
      </c>
      <c r="G3" s="210">
        <f>SUM(FAKTA!N7)</f>
        <v>0</v>
      </c>
      <c r="H3" s="167"/>
    </row>
    <row r="4" spans="1:8" ht="12.75">
      <c r="A4" s="167"/>
      <c r="B4" s="167" t="s">
        <v>17</v>
      </c>
      <c r="C4" s="204">
        <f>IF(FAKTA!S41="","",FAKTA!S41+'ink.pens.tillägg'!E11)</f>
      </c>
      <c r="D4" s="168" t="s">
        <v>527</v>
      </c>
      <c r="E4" s="167"/>
      <c r="F4" s="671" t="s">
        <v>46</v>
      </c>
      <c r="G4" s="204">
        <f>IF(G3=0,"",LOOKUP(G3,'uppdat-hjälpberäkn'!F29:F94,'uppdat-hjälpberäkn'!I29:I94))</f>
      </c>
      <c r="H4" s="167"/>
    </row>
    <row r="5" spans="1:8" ht="12.75">
      <c r="A5" s="167"/>
      <c r="B5" s="167"/>
      <c r="C5" s="167"/>
      <c r="D5" s="167"/>
      <c r="E5" s="167" t="s">
        <v>523</v>
      </c>
      <c r="F5" s="167"/>
      <c r="G5" s="204">
        <f>IF(G4="","",SUM(G4*G6/40))</f>
      </c>
      <c r="H5" s="167"/>
    </row>
    <row r="6" spans="1:8" ht="12.75">
      <c r="A6" s="167"/>
      <c r="B6" s="167"/>
      <c r="C6" s="167"/>
      <c r="D6" s="167"/>
      <c r="E6" s="167"/>
      <c r="F6" s="671" t="s">
        <v>448</v>
      </c>
      <c r="G6" s="672">
        <f>IF(FAKTA!J9="",40,FAKTA!J9)</f>
        <v>40</v>
      </c>
      <c r="H6" s="167"/>
    </row>
    <row r="7" spans="1:8" ht="12.75">
      <c r="A7" s="167"/>
      <c r="B7" s="167"/>
      <c r="C7" s="167"/>
      <c r="D7" s="167"/>
      <c r="E7" s="167"/>
      <c r="F7" s="167"/>
      <c r="G7" s="167"/>
      <c r="H7" s="167"/>
    </row>
    <row r="8" spans="1:8" ht="12.75">
      <c r="A8" s="167"/>
      <c r="B8" s="167"/>
      <c r="C8" s="167"/>
      <c r="D8" s="167"/>
      <c r="E8" s="167"/>
      <c r="F8" s="167"/>
      <c r="G8" s="167"/>
      <c r="H8" s="167"/>
    </row>
    <row r="9" spans="1:8" ht="12.75">
      <c r="A9" s="167"/>
      <c r="B9" s="167"/>
      <c r="C9" s="167"/>
      <c r="D9" s="194" t="s">
        <v>5</v>
      </c>
      <c r="E9" s="167"/>
      <c r="F9" s="167"/>
      <c r="G9" s="194" t="s">
        <v>7</v>
      </c>
      <c r="H9" s="167"/>
    </row>
    <row r="10" spans="1:8" ht="12.75">
      <c r="A10" s="167"/>
      <c r="B10" s="196" t="s">
        <v>312</v>
      </c>
      <c r="C10" s="167" t="s">
        <v>15</v>
      </c>
      <c r="D10" s="761">
        <f>IF(C3="","",IF(C3&lt;1.26*G5,(2.43*G5)-C3,MAX(0,IF(C3&gt;1.26*G5,MAX(1.17*G5-0.48*(C3-1.26*G5)),0))))</f>
      </c>
      <c r="E10" s="167"/>
      <c r="F10" s="167" t="s">
        <v>15</v>
      </c>
      <c r="G10" s="761">
        <f>IF(C3="","",IF(C3&lt;1.14*G5,(2.2*G5)-C3,MAX(0,IF(C3&gt;1.14*G5,MAX(1.06*G5-0.48*(C3-1.14*G5)),))))</f>
      </c>
      <c r="H10" s="167"/>
    </row>
    <row r="11" spans="1:8" ht="12.75">
      <c r="A11" s="167"/>
      <c r="B11" s="196"/>
      <c r="C11" s="167" t="s">
        <v>64</v>
      </c>
      <c r="D11" s="204">
        <f>IF(C3="","",IF(C3&lt;1.26*G5,2.43*G5,SUM(C3+D10)))</f>
      </c>
      <c r="E11" s="167"/>
      <c r="F11" s="167" t="s">
        <v>64</v>
      </c>
      <c r="G11" s="204">
        <f>IF(C3="","",IF(C3&lt;1.14*G5,2.2*G5,SUM(C3+G10)))</f>
      </c>
      <c r="H11" s="167"/>
    </row>
    <row r="12" spans="1:8" ht="12.75">
      <c r="A12" s="167"/>
      <c r="B12" s="196"/>
      <c r="C12" s="167"/>
      <c r="D12" s="167"/>
      <c r="E12" s="167"/>
      <c r="F12" s="167"/>
      <c r="G12" s="167"/>
      <c r="H12" s="167"/>
    </row>
    <row r="13" spans="1:8" ht="12.75">
      <c r="A13" s="167"/>
      <c r="B13" s="196"/>
      <c r="C13" s="167"/>
      <c r="D13" s="167"/>
      <c r="E13" s="167"/>
      <c r="F13" s="167"/>
      <c r="G13" s="167"/>
      <c r="H13" s="167"/>
    </row>
    <row r="14" spans="1:8" ht="12.75">
      <c r="A14" s="167"/>
      <c r="B14" s="196" t="s">
        <v>31</v>
      </c>
      <c r="C14" s="167" t="s">
        <v>15</v>
      </c>
      <c r="D14" s="761">
        <f>IF(C4="","",IF(C4&lt;1.26*G5,(2.43*G5)-C4,MAX(0,IF(C4&gt;1.26*G5,MAX(1.17*G5-0.48*(C4-1.26*G5)),0))))</f>
      </c>
      <c r="E14" s="167"/>
      <c r="F14" s="167" t="s">
        <v>15</v>
      </c>
      <c r="G14" s="761">
        <f>IF(C4="","",IF(C4&lt;1.14*G5,(2.2*G5)-C4,MAX(0,IF(C4&gt;1.14*G5,MAX(1.06*G5-0.48*(C4-1.14*G5)),))))</f>
      </c>
      <c r="H14" s="167"/>
    </row>
    <row r="15" spans="1:8" ht="12.75">
      <c r="A15" s="167"/>
      <c r="B15" s="167"/>
      <c r="C15" s="167" t="s">
        <v>18</v>
      </c>
      <c r="D15" s="204">
        <f>IF(C4="","",IF(C4&lt;1.26*G5,2.43*G5,SUM(C4+D14)))</f>
      </c>
      <c r="E15" s="167"/>
      <c r="F15" s="167" t="s">
        <v>18</v>
      </c>
      <c r="G15" s="204">
        <f>IF(C4="","",IF(C4&lt;1.14*G5,2.2*G5,SUM(C4+G14)))</f>
      </c>
      <c r="H15" s="167"/>
    </row>
    <row r="16" spans="1:8" ht="13.5" thickBot="1">
      <c r="A16" s="167"/>
      <c r="B16" s="167"/>
      <c r="C16" s="167"/>
      <c r="D16" s="167"/>
      <c r="E16" s="167"/>
      <c r="F16" s="167"/>
      <c r="G16" s="167"/>
      <c r="H16" s="167"/>
    </row>
    <row r="17" spans="1:8" ht="13.5" thickBot="1">
      <c r="A17" s="167"/>
      <c r="B17" s="196" t="s">
        <v>521</v>
      </c>
      <c r="C17" s="196"/>
      <c r="D17" s="673">
        <f>IF(D11="","",SUM(D11-D15))</f>
      </c>
      <c r="E17" s="196" t="s">
        <v>522</v>
      </c>
      <c r="F17" s="196"/>
      <c r="G17" s="673">
        <f>IF(G11="","",SUM(G11-G15))</f>
      </c>
      <c r="H17" s="167"/>
    </row>
    <row r="18" spans="1:8" ht="12.75">
      <c r="A18" s="167"/>
      <c r="B18" s="196"/>
      <c r="C18" s="196"/>
      <c r="D18" s="704"/>
      <c r="E18" s="196"/>
      <c r="F18" s="196"/>
      <c r="G18" s="704"/>
      <c r="H18" s="167"/>
    </row>
    <row r="19" spans="1:8" ht="12.75">
      <c r="A19" s="167"/>
      <c r="B19" s="196"/>
      <c r="C19" s="196"/>
      <c r="D19" s="704"/>
      <c r="E19" s="196"/>
      <c r="F19" s="196"/>
      <c r="G19" s="704"/>
      <c r="H19" s="167"/>
    </row>
    <row r="20" spans="1:8" ht="12.75">
      <c r="A20" s="167"/>
      <c r="B20" s="196"/>
      <c r="C20" s="196"/>
      <c r="D20" s="704"/>
      <c r="E20" s="196"/>
      <c r="F20" s="196"/>
      <c r="G20" s="704"/>
      <c r="H20" s="167"/>
    </row>
    <row r="21" spans="1:8" ht="12.75">
      <c r="A21" s="377" t="s">
        <v>63</v>
      </c>
      <c r="B21" s="317" t="s">
        <v>544</v>
      </c>
      <c r="C21" s="196"/>
      <c r="D21" s="704"/>
      <c r="E21" s="196"/>
      <c r="F21" s="196"/>
      <c r="G21" s="704"/>
      <c r="H21" s="167"/>
    </row>
    <row r="22" spans="1:8" ht="12.75">
      <c r="A22" s="167"/>
      <c r="B22" s="167"/>
      <c r="C22" s="168" t="s">
        <v>546</v>
      </c>
      <c r="D22" s="167"/>
      <c r="E22" s="167"/>
      <c r="F22" s="167"/>
      <c r="G22" s="167"/>
      <c r="H22" s="167"/>
    </row>
    <row r="23" spans="1:8" ht="12.75">
      <c r="A23" s="196" t="s">
        <v>537</v>
      </c>
      <c r="B23" s="167"/>
      <c r="C23" s="167"/>
      <c r="D23" s="167"/>
      <c r="E23" s="167"/>
      <c r="F23" s="167"/>
      <c r="G23" s="167"/>
      <c r="H23" s="167"/>
    </row>
    <row r="24" spans="1:8" ht="12.75">
      <c r="A24" s="707">
        <f>IF(G4="","",SUM(G4*2.43))</f>
      </c>
      <c r="B24" s="167"/>
      <c r="C24" s="167"/>
      <c r="D24" s="167"/>
      <c r="E24" s="167"/>
      <c r="F24" s="167"/>
      <c r="G24" s="167"/>
      <c r="H24" s="167"/>
    </row>
    <row r="25" spans="1:8" ht="12.75">
      <c r="A25" s="707">
        <f>IF(G5="","",SUM(G5*2.43))</f>
      </c>
      <c r="B25" s="168">
        <f>IF(G5="","","PBB 40 dels beräkn.")</f>
      </c>
      <c r="C25" s="167"/>
      <c r="D25" s="167"/>
      <c r="E25" s="167"/>
      <c r="F25" s="167"/>
      <c r="G25" s="167"/>
      <c r="H25" s="167"/>
    </row>
    <row r="26" spans="1:8" ht="12.75">
      <c r="A26" s="167"/>
      <c r="B26" s="167"/>
      <c r="C26" s="167"/>
      <c r="D26" s="167"/>
      <c r="E26" s="167"/>
      <c r="F26" s="167"/>
      <c r="G26" s="167"/>
      <c r="H26" s="167"/>
    </row>
    <row r="27" spans="1:8" ht="12.75">
      <c r="A27" s="167"/>
      <c r="B27" s="167"/>
      <c r="C27" s="167"/>
      <c r="D27" s="167"/>
      <c r="E27" s="167"/>
      <c r="F27" s="167"/>
      <c r="G27" s="167"/>
      <c r="H27" s="167"/>
    </row>
    <row r="28" spans="1:8" ht="12.75">
      <c r="A28" s="167"/>
      <c r="B28" s="167"/>
      <c r="C28" s="167"/>
      <c r="D28" s="706">
        <v>0</v>
      </c>
      <c r="E28" s="167"/>
      <c r="F28" s="167"/>
      <c r="G28" s="167"/>
      <c r="H28" s="167"/>
    </row>
    <row r="29" spans="1:8" ht="12.75">
      <c r="A29" s="194" t="s">
        <v>540</v>
      </c>
      <c r="B29" s="167"/>
      <c r="C29" s="167"/>
      <c r="D29" s="167"/>
      <c r="E29" s="167"/>
      <c r="F29" s="167"/>
      <c r="G29" s="167"/>
      <c r="H29" s="167"/>
    </row>
    <row r="30" spans="1:8" ht="12.75">
      <c r="A30" s="196">
        <v>0</v>
      </c>
      <c r="B30" s="167"/>
      <c r="C30" s="196" t="s">
        <v>538</v>
      </c>
      <c r="D30" s="196" t="s">
        <v>539</v>
      </c>
      <c r="E30" s="167"/>
      <c r="F30" s="167"/>
      <c r="G30" s="167"/>
      <c r="H30" s="167"/>
    </row>
    <row r="31" spans="1:8" ht="12.75">
      <c r="A31" s="167"/>
      <c r="B31" s="167"/>
      <c r="C31" s="708">
        <f>IF(G4="","",SUM(G4*1.26))</f>
      </c>
      <c r="D31" s="707">
        <f>IF(G4="","",SUM(G4*3.6975))</f>
      </c>
      <c r="E31" s="167"/>
      <c r="F31" s="167"/>
      <c r="G31" s="167"/>
      <c r="H31" s="167"/>
    </row>
    <row r="32" spans="1:8" ht="12.75">
      <c r="A32" s="168">
        <f>IF(G5="","","PBB-40 dels beräkn.")</f>
      </c>
      <c r="B32" s="167"/>
      <c r="C32" s="708">
        <f>IF(G5="","",SUM(G5*1.26))</f>
      </c>
      <c r="D32" s="707">
        <f>IF(G5="","",SUM(G5*3.6975))</f>
      </c>
      <c r="E32" s="167"/>
      <c r="F32" s="167"/>
      <c r="G32" s="167"/>
      <c r="H32" s="167"/>
    </row>
    <row r="33" spans="1:8" ht="12.75">
      <c r="A33" s="168"/>
      <c r="B33" s="167"/>
      <c r="C33" s="708"/>
      <c r="D33" s="707"/>
      <c r="E33" s="167"/>
      <c r="F33" s="167"/>
      <c r="G33" s="167"/>
      <c r="H33" s="167"/>
    </row>
    <row r="34" spans="1:8" ht="12.75">
      <c r="A34" s="168"/>
      <c r="B34" s="167"/>
      <c r="C34" s="708"/>
      <c r="D34" s="707"/>
      <c r="E34" s="167"/>
      <c r="F34" s="167"/>
      <c r="G34" s="167"/>
      <c r="H34" s="167"/>
    </row>
    <row r="35" spans="1:8" ht="12.75">
      <c r="A35" s="167"/>
      <c r="B35" s="167"/>
      <c r="C35" s="167"/>
      <c r="D35" s="167"/>
      <c r="E35" s="167"/>
      <c r="F35" s="167"/>
      <c r="G35" s="167"/>
      <c r="H35" s="167"/>
    </row>
    <row r="36" spans="1:8" ht="12.75">
      <c r="A36" s="167"/>
      <c r="B36" s="167"/>
      <c r="C36" s="167"/>
      <c r="D36" s="167"/>
      <c r="E36" s="167"/>
      <c r="F36" s="167"/>
      <c r="G36" s="167"/>
      <c r="H36" s="167"/>
    </row>
    <row r="37" spans="1:8" ht="12.75">
      <c r="A37" s="377" t="s">
        <v>62</v>
      </c>
      <c r="B37" s="317" t="s">
        <v>545</v>
      </c>
      <c r="C37" s="317"/>
      <c r="D37" s="167"/>
      <c r="E37" s="167"/>
      <c r="F37" s="167"/>
      <c r="G37" s="167"/>
      <c r="H37" s="167"/>
    </row>
    <row r="38" spans="1:8" ht="12.75">
      <c r="A38" s="167"/>
      <c r="B38" s="167"/>
      <c r="C38" s="168" t="s">
        <v>546</v>
      </c>
      <c r="D38" s="167"/>
      <c r="E38" s="167"/>
      <c r="F38" s="167"/>
      <c r="G38" s="167"/>
      <c r="H38" s="167"/>
    </row>
    <row r="39" spans="1:8" ht="12.75">
      <c r="A39" s="196" t="s">
        <v>543</v>
      </c>
      <c r="B39" s="167"/>
      <c r="C39" s="167"/>
      <c r="D39" s="167"/>
      <c r="E39" s="167"/>
      <c r="F39" s="167"/>
      <c r="G39" s="167"/>
      <c r="H39" s="167"/>
    </row>
    <row r="40" spans="1:8" ht="12.75">
      <c r="A40" s="707">
        <f>IF(G4="","",SUM(G4*2.2))</f>
      </c>
      <c r="B40" s="167"/>
      <c r="C40" s="167"/>
      <c r="D40" s="167"/>
      <c r="E40" s="167"/>
      <c r="F40" s="167"/>
      <c r="G40" s="167"/>
      <c r="H40" s="167"/>
    </row>
    <row r="41" spans="1:8" ht="12.75">
      <c r="A41" s="707">
        <f>IF(G5="","",SUM(G5*2.2))</f>
      </c>
      <c r="B41" s="168">
        <f>IF(G5="","","PBB-40 dels beräkn.")</f>
      </c>
      <c r="C41" s="167"/>
      <c r="D41" s="167"/>
      <c r="E41" s="167"/>
      <c r="F41" s="167"/>
      <c r="G41" s="167"/>
      <c r="H41" s="167"/>
    </row>
    <row r="42" spans="1:8" ht="12.75">
      <c r="A42" s="167"/>
      <c r="B42" s="167"/>
      <c r="C42" s="167"/>
      <c r="D42" s="167"/>
      <c r="E42" s="167"/>
      <c r="F42" s="167"/>
      <c r="G42" s="167"/>
      <c r="H42" s="167"/>
    </row>
    <row r="43" spans="1:8" ht="12.75">
      <c r="A43" s="167"/>
      <c r="B43" s="167"/>
      <c r="C43" s="167"/>
      <c r="D43" s="167"/>
      <c r="E43" s="167"/>
      <c r="F43" s="167"/>
      <c r="G43" s="167"/>
      <c r="H43" s="167"/>
    </row>
    <row r="44" spans="1:8" ht="12.75">
      <c r="A44" s="167"/>
      <c r="B44" s="167"/>
      <c r="C44" s="167"/>
      <c r="D44" s="705">
        <v>0</v>
      </c>
      <c r="E44" s="167"/>
      <c r="F44" s="167"/>
      <c r="G44" s="167"/>
      <c r="H44" s="167"/>
    </row>
    <row r="45" spans="1:8" ht="12.75">
      <c r="A45" s="194" t="s">
        <v>540</v>
      </c>
      <c r="B45" s="167"/>
      <c r="C45" s="167"/>
      <c r="D45" s="167"/>
      <c r="E45" s="167"/>
      <c r="F45" s="167"/>
      <c r="G45" s="167"/>
      <c r="H45" s="167"/>
    </row>
    <row r="46" spans="1:8" ht="12.75">
      <c r="A46" s="196">
        <v>0</v>
      </c>
      <c r="B46" s="167"/>
      <c r="C46" s="196" t="s">
        <v>541</v>
      </c>
      <c r="D46" s="196" t="s">
        <v>542</v>
      </c>
      <c r="E46" s="167"/>
      <c r="F46" s="167"/>
      <c r="G46" s="167"/>
      <c r="H46" s="167"/>
    </row>
    <row r="47" spans="1:8" ht="12.75">
      <c r="A47" s="167"/>
      <c r="B47" s="167"/>
      <c r="C47" s="708">
        <f>IF(G4="","",SUM(G4*1.14))</f>
      </c>
      <c r="D47" s="708">
        <f>IF(G4="","",SUM(G4*3.3483))</f>
      </c>
      <c r="E47" s="167"/>
      <c r="F47" s="167"/>
      <c r="G47" s="167"/>
      <c r="H47" s="167"/>
    </row>
    <row r="48" spans="1:8" ht="12.75">
      <c r="A48" s="168">
        <f>IF(G5="","","PBB-40 dels beräkn.")</f>
      </c>
      <c r="B48" s="167"/>
      <c r="C48" s="708">
        <f>IF(G5="","",SUM(G5*1.14))</f>
      </c>
      <c r="D48" s="708">
        <f>IF(G5="","",SUM(G5*3.3483))</f>
      </c>
      <c r="E48" s="167"/>
      <c r="F48" s="167"/>
      <c r="G48" s="167"/>
      <c r="H48" s="167"/>
    </row>
    <row r="49" spans="1:8" ht="12.75">
      <c r="A49" s="167"/>
      <c r="B49" s="167"/>
      <c r="C49" s="167"/>
      <c r="D49" s="167"/>
      <c r="E49" s="167"/>
      <c r="F49" s="167"/>
      <c r="G49" s="167"/>
      <c r="H49" s="167"/>
    </row>
    <row r="50" spans="1:8" ht="12.75">
      <c r="A50" s="167"/>
      <c r="B50" s="167"/>
      <c r="C50" s="167"/>
      <c r="D50" s="167"/>
      <c r="E50" s="167"/>
      <c r="F50" s="167"/>
      <c r="G50" s="167"/>
      <c r="H50" s="167"/>
    </row>
  </sheetData>
  <sheetProtection password="C248" sheet="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2"/>
  </sheetPr>
  <dimension ref="A1:K40"/>
  <sheetViews>
    <sheetView zoomScalePageLayoutView="0" workbookViewId="0" topLeftCell="A1">
      <selection activeCell="B1" sqref="B1"/>
    </sheetView>
  </sheetViews>
  <sheetFormatPr defaultColWidth="9.140625" defaultRowHeight="12.75"/>
  <cols>
    <col min="1" max="1" width="33.7109375" style="0" customWidth="1"/>
    <col min="2" max="2" width="8.7109375" style="0" customWidth="1"/>
    <col min="3" max="3" width="19.00390625" style="0" customWidth="1"/>
    <col min="4" max="4" width="13.57421875" style="0" customWidth="1"/>
    <col min="6" max="6" width="9.140625" style="172" customWidth="1"/>
    <col min="9" max="9" width="11.28125" style="0" customWidth="1"/>
  </cols>
  <sheetData>
    <row r="1" spans="1:9" ht="15.75">
      <c r="A1" s="559" t="s">
        <v>530</v>
      </c>
      <c r="B1" s="167"/>
      <c r="C1" s="685" t="s">
        <v>536</v>
      </c>
      <c r="D1" s="167"/>
      <c r="E1" s="167"/>
      <c r="F1" s="577" t="s">
        <v>470</v>
      </c>
      <c r="G1" s="165"/>
      <c r="H1" s="165"/>
      <c r="I1" s="165"/>
    </row>
    <row r="2" spans="1:9" ht="15">
      <c r="A2" s="559"/>
      <c r="B2" s="167"/>
      <c r="C2" s="167"/>
      <c r="D2" s="167"/>
      <c r="E2" s="167"/>
      <c r="F2" s="165"/>
      <c r="G2" s="165"/>
      <c r="H2" s="165"/>
      <c r="I2" s="165"/>
    </row>
    <row r="3" spans="1:9" ht="13.5" thickBot="1">
      <c r="A3" s="167"/>
      <c r="B3" s="167"/>
      <c r="C3" s="558" t="s">
        <v>463</v>
      </c>
      <c r="D3" s="167"/>
      <c r="E3" s="167"/>
      <c r="F3" s="165"/>
      <c r="G3" s="165" t="s">
        <v>471</v>
      </c>
      <c r="H3" s="165"/>
      <c r="I3" s="165"/>
    </row>
    <row r="4" spans="1:9" ht="13.5" thickBot="1">
      <c r="A4" s="556" t="s">
        <v>311</v>
      </c>
      <c r="B4" s="561">
        <f>IF(FAKTA!K5="","",YEAR(FAKTA!K5))</f>
      </c>
      <c r="C4" s="560">
        <f>IF(B4&lt;1938,30,IF(B4&gt;1944,40,IF(OR(B4&gt;1937,B4&lt;1945),35)))</f>
        <v>40</v>
      </c>
      <c r="D4" s="167"/>
      <c r="E4" s="167"/>
      <c r="F4" s="165"/>
      <c r="G4" s="165" t="s">
        <v>6</v>
      </c>
      <c r="H4" s="165"/>
      <c r="I4" s="165"/>
    </row>
    <row r="5" spans="1:9" ht="13.5" thickBot="1">
      <c r="A5" s="556" t="s">
        <v>460</v>
      </c>
      <c r="B5" s="561">
        <f>IF(FAKTA!J9="",40,FAKTA!J9)</f>
        <v>40</v>
      </c>
      <c r="C5" s="557">
        <f>MIN(B5/C4,1)</f>
        <v>1</v>
      </c>
      <c r="D5" s="74"/>
      <c r="E5" s="167"/>
      <c r="F5" s="165"/>
      <c r="G5" s="578"/>
      <c r="H5" s="165"/>
      <c r="I5" s="165"/>
    </row>
    <row r="6" spans="1:9" ht="13.5" thickBot="1">
      <c r="A6" s="74"/>
      <c r="B6" s="167"/>
      <c r="C6" s="570" t="s">
        <v>459</v>
      </c>
      <c r="D6" s="569" t="s">
        <v>466</v>
      </c>
      <c r="E6" s="683" t="s">
        <v>529</v>
      </c>
      <c r="F6" s="579"/>
      <c r="G6" s="587" t="s">
        <v>8</v>
      </c>
      <c r="H6" s="579" t="s">
        <v>459</v>
      </c>
      <c r="I6" s="580" t="s">
        <v>469</v>
      </c>
    </row>
    <row r="7" spans="1:11" ht="13.5" thickBot="1">
      <c r="A7" s="562" t="s">
        <v>464</v>
      </c>
      <c r="B7" s="563">
        <f>IF(B4="","",SUM(FAKTA!K41/12))</f>
      </c>
      <c r="C7" s="568">
        <f>IF(OR(B7&lt;B15,B7&gt;C39),0,LOOKUP(B7,B15:C39,D15:D39))</f>
        <v>0</v>
      </c>
      <c r="D7" s="567">
        <f>SUM(C7*C5)</f>
        <v>0</v>
      </c>
      <c r="E7" s="684">
        <f>SUM(D7*12)</f>
        <v>0</v>
      </c>
      <c r="F7" s="579"/>
      <c r="G7" s="581">
        <f>SUM(G8/12)</f>
        <v>0</v>
      </c>
      <c r="H7" s="582">
        <f>IF(OR(G7&lt;B15,G7&gt;C39),0,LOOKUP(G7,B15:C39,D15:D39))</f>
        <v>0</v>
      </c>
      <c r="I7" s="583">
        <f>SUM(C5*H7)</f>
        <v>0</v>
      </c>
      <c r="K7" s="751"/>
    </row>
    <row r="8" spans="1:9" ht="12.75">
      <c r="A8" s="74"/>
      <c r="B8" s="555"/>
      <c r="C8" s="588" t="s">
        <v>24</v>
      </c>
      <c r="D8" s="589">
        <f>SUM(D7*12)</f>
        <v>0</v>
      </c>
      <c r="E8" s="74"/>
      <c r="F8" s="584" t="s">
        <v>279</v>
      </c>
      <c r="G8" s="711">
        <f>SUM('ink eft 65,67, uppskjutet uttag'!I18)</f>
        <v>0</v>
      </c>
      <c r="H8" s="584"/>
      <c r="I8" s="713">
        <f>SUM(I7*12)</f>
        <v>0</v>
      </c>
    </row>
    <row r="9" spans="1:9" ht="13.5" thickBot="1">
      <c r="A9" s="74"/>
      <c r="B9" s="555"/>
      <c r="C9" s="458"/>
      <c r="D9" s="555"/>
      <c r="E9" s="74"/>
      <c r="F9" s="579"/>
      <c r="G9" s="249"/>
      <c r="H9" s="165"/>
      <c r="I9" s="165"/>
    </row>
    <row r="10" spans="1:9" ht="13.5" thickBot="1">
      <c r="A10" s="167"/>
      <c r="B10" s="167"/>
      <c r="C10" s="454" t="s">
        <v>459</v>
      </c>
      <c r="D10" s="564" t="s">
        <v>467</v>
      </c>
      <c r="E10" s="683" t="s">
        <v>529</v>
      </c>
      <c r="F10" s="579"/>
      <c r="G10" s="587" t="s">
        <v>9</v>
      </c>
      <c r="H10" s="579" t="s">
        <v>459</v>
      </c>
      <c r="I10" s="580" t="s">
        <v>469</v>
      </c>
    </row>
    <row r="11" spans="1:9" ht="13.5" thickBot="1">
      <c r="A11" s="562" t="s">
        <v>465</v>
      </c>
      <c r="B11" s="590">
        <f>IF(B4="","",SUM(FAKTA!S41/12))</f>
      </c>
      <c r="C11" s="467">
        <f>IF(OR(B11&lt;B15,B11&gt;C39),0,LOOKUP(B11,B15:C39,D15:D39))</f>
        <v>0</v>
      </c>
      <c r="D11" s="565">
        <f>SUM(C11*C5)</f>
        <v>0</v>
      </c>
      <c r="E11" s="684">
        <f>SUM(D11*12)</f>
        <v>0</v>
      </c>
      <c r="F11" s="579"/>
      <c r="G11" s="581">
        <f>SUM(G12/12)</f>
        <v>0</v>
      </c>
      <c r="H11" s="582">
        <f>IF(OR(G11&lt;B15,G11&gt;C39),0,LOOKUP(G11,B15:C39,D15:D39))</f>
        <v>0</v>
      </c>
      <c r="I11" s="583">
        <f>SUM(C5*H11)</f>
        <v>0</v>
      </c>
    </row>
    <row r="12" spans="1:9" ht="12.75">
      <c r="A12" s="74"/>
      <c r="B12" s="555"/>
      <c r="C12" s="255" t="s">
        <v>24</v>
      </c>
      <c r="D12" s="589">
        <f>SUM(D11*12)</f>
        <v>0</v>
      </c>
      <c r="E12" s="167"/>
      <c r="F12" s="586" t="s">
        <v>279</v>
      </c>
      <c r="G12" s="712">
        <f>SUM('ink eft 65,67, uppskjutet uttag'!I31)</f>
        <v>0</v>
      </c>
      <c r="H12" s="584"/>
      <c r="I12" s="713">
        <f>SUM(I11*12)</f>
        <v>0</v>
      </c>
    </row>
    <row r="13" spans="1:9" ht="12.75">
      <c r="A13" s="167"/>
      <c r="B13" s="554" t="s">
        <v>458</v>
      </c>
      <c r="C13" s="535"/>
      <c r="D13" s="566" t="s">
        <v>468</v>
      </c>
      <c r="E13" s="167"/>
      <c r="F13" s="165"/>
      <c r="G13" s="165"/>
      <c r="H13" s="165"/>
      <c r="I13" s="165"/>
    </row>
    <row r="14" spans="1:9" ht="12.75">
      <c r="A14" s="167"/>
      <c r="B14" s="456" t="s">
        <v>457</v>
      </c>
      <c r="C14" s="458" t="s">
        <v>456</v>
      </c>
      <c r="D14" s="462" t="s">
        <v>469</v>
      </c>
      <c r="E14" s="167"/>
      <c r="F14" s="165"/>
      <c r="G14" s="165"/>
      <c r="H14" s="165"/>
      <c r="I14" s="165"/>
    </row>
    <row r="15" spans="1:9" ht="12.75">
      <c r="A15" s="167"/>
      <c r="B15" s="698">
        <f>SUM('uppdat-hjälpberäkn'!L63)</f>
        <v>9589</v>
      </c>
      <c r="C15" s="699">
        <f>SUM('uppdat-hjälpberäkn'!M63)</f>
        <v>9765</v>
      </c>
      <c r="D15" s="700">
        <f>SUM('uppdat-hjälpberäkn'!N63)</f>
        <v>25</v>
      </c>
      <c r="E15" s="167"/>
      <c r="F15" s="165"/>
      <c r="G15" s="165" t="s">
        <v>471</v>
      </c>
      <c r="H15" s="165"/>
      <c r="I15" s="165"/>
    </row>
    <row r="16" spans="1:9" ht="12.75">
      <c r="A16" s="167"/>
      <c r="B16" s="698">
        <f>SUM('uppdat-hjälpberäkn'!L64)</f>
        <v>9766</v>
      </c>
      <c r="C16" s="699">
        <f>SUM('uppdat-hjälpberäkn'!M64)</f>
        <v>9943</v>
      </c>
      <c r="D16" s="700">
        <f>SUM('uppdat-hjälpberäkn'!N64)</f>
        <v>75</v>
      </c>
      <c r="E16" s="167"/>
      <c r="F16" s="165"/>
      <c r="G16" s="165" t="s">
        <v>6</v>
      </c>
      <c r="H16" s="165"/>
      <c r="I16" s="165"/>
    </row>
    <row r="17" spans="1:9" ht="12.75">
      <c r="A17" s="167"/>
      <c r="B17" s="698">
        <f>SUM('uppdat-hjälpberäkn'!L65)</f>
        <v>9944</v>
      </c>
      <c r="C17" s="699">
        <f>SUM('uppdat-hjälpberäkn'!M65)</f>
        <v>10120</v>
      </c>
      <c r="D17" s="700">
        <f>SUM('uppdat-hjälpberäkn'!N65)</f>
        <v>125</v>
      </c>
      <c r="E17" s="167"/>
      <c r="F17" s="165"/>
      <c r="G17" s="578"/>
      <c r="H17" s="165"/>
      <c r="I17" s="165"/>
    </row>
    <row r="18" spans="1:9" ht="12.75">
      <c r="A18" s="167"/>
      <c r="B18" s="698">
        <f>SUM('uppdat-hjälpberäkn'!L66)</f>
        <v>10121</v>
      </c>
      <c r="C18" s="699">
        <f>SUM('uppdat-hjälpberäkn'!M66)</f>
        <v>10298</v>
      </c>
      <c r="D18" s="700">
        <f>SUM('uppdat-hjälpberäkn'!N66)</f>
        <v>175</v>
      </c>
      <c r="E18" s="167"/>
      <c r="F18" s="579"/>
      <c r="G18" s="587" t="s">
        <v>8</v>
      </c>
      <c r="H18" s="579" t="s">
        <v>459</v>
      </c>
      <c r="I18" s="580" t="s">
        <v>469</v>
      </c>
    </row>
    <row r="19" spans="1:9" ht="12.75">
      <c r="A19" s="167"/>
      <c r="B19" s="698">
        <f>SUM('uppdat-hjälpberäkn'!L67)</f>
        <v>10299</v>
      </c>
      <c r="C19" s="699">
        <f>SUM('uppdat-hjälpberäkn'!M67)</f>
        <v>10475</v>
      </c>
      <c r="D19" s="700">
        <f>SUM('uppdat-hjälpberäkn'!N67)</f>
        <v>225</v>
      </c>
      <c r="E19" s="167"/>
      <c r="F19" s="579"/>
      <c r="G19" s="581">
        <f>SUM(G20/12)</f>
        <v>0</v>
      </c>
      <c r="H19" s="582">
        <f>IF(OR(G19&lt;B15,G19&gt;C39),0,LOOKUP(G19,B15:C39,D15:D39))</f>
        <v>0</v>
      </c>
      <c r="I19" s="583">
        <f>SUM(C5*H19)</f>
        <v>0</v>
      </c>
    </row>
    <row r="20" spans="1:9" ht="12.75">
      <c r="A20" s="167"/>
      <c r="B20" s="698">
        <f>SUM('uppdat-hjälpberäkn'!L68)</f>
        <v>10476</v>
      </c>
      <c r="C20" s="699">
        <f>SUM('uppdat-hjälpberäkn'!M68)</f>
        <v>10653</v>
      </c>
      <c r="D20" s="700">
        <f>SUM('uppdat-hjälpberäkn'!N68)</f>
        <v>275</v>
      </c>
      <c r="E20" s="167"/>
      <c r="F20" s="584" t="s">
        <v>279</v>
      </c>
      <c r="G20" s="711">
        <f>SUM('ink eft 65,67, uppskjutet uttag'!S27)</f>
        <v>0</v>
      </c>
      <c r="H20" s="584"/>
      <c r="I20" s="585">
        <f>SUM(I19*12)</f>
        <v>0</v>
      </c>
    </row>
    <row r="21" spans="1:9" ht="12.75">
      <c r="A21" s="167"/>
      <c r="B21" s="698">
        <f>SUM('uppdat-hjälpberäkn'!L69)</f>
        <v>10654</v>
      </c>
      <c r="C21" s="699">
        <f>SUM('uppdat-hjälpberäkn'!M69)</f>
        <v>10830</v>
      </c>
      <c r="D21" s="700">
        <f>SUM('uppdat-hjälpberäkn'!N69)</f>
        <v>325</v>
      </c>
      <c r="E21" s="167"/>
      <c r="F21" s="579"/>
      <c r="G21" s="249"/>
      <c r="H21" s="165"/>
      <c r="I21" s="165"/>
    </row>
    <row r="22" spans="1:9" ht="12.75">
      <c r="A22" s="167"/>
      <c r="B22" s="698">
        <f>SUM('uppdat-hjälpberäkn'!L70)</f>
        <v>10831</v>
      </c>
      <c r="C22" s="699">
        <f>SUM('uppdat-hjälpberäkn'!M70)</f>
        <v>11009</v>
      </c>
      <c r="D22" s="700">
        <f>SUM('uppdat-hjälpberäkn'!N70)</f>
        <v>375</v>
      </c>
      <c r="E22" s="167"/>
      <c r="F22" s="579"/>
      <c r="G22" s="587" t="s">
        <v>9</v>
      </c>
      <c r="H22" s="579" t="s">
        <v>459</v>
      </c>
      <c r="I22" s="580" t="s">
        <v>469</v>
      </c>
    </row>
    <row r="23" spans="1:9" ht="12.75">
      <c r="A23" s="167"/>
      <c r="B23" s="698">
        <f>SUM('uppdat-hjälpberäkn'!L71)</f>
        <v>10903</v>
      </c>
      <c r="C23" s="699">
        <f>SUM('uppdat-hjälpberäkn'!M71)</f>
        <v>11186</v>
      </c>
      <c r="D23" s="700">
        <f>SUM('uppdat-hjälpberäkn'!N71)</f>
        <v>425</v>
      </c>
      <c r="E23" s="167"/>
      <c r="F23" s="579"/>
      <c r="G23" s="581">
        <f>SUM(G24/12)</f>
        <v>0</v>
      </c>
      <c r="H23" s="582">
        <f>IF(OR(G23&lt;B15,G23&gt;C39),0,LOOKUP(G23,B15:C39,D15:D39))</f>
        <v>0</v>
      </c>
      <c r="I23" s="583">
        <f>SUM(C5*H23)</f>
        <v>0</v>
      </c>
    </row>
    <row r="24" spans="1:9" ht="12.75">
      <c r="A24" s="167"/>
      <c r="B24" s="698">
        <f>SUM('uppdat-hjälpberäkn'!L72)</f>
        <v>11187</v>
      </c>
      <c r="C24" s="699">
        <f>SUM('uppdat-hjälpberäkn'!M72)</f>
        <v>11363</v>
      </c>
      <c r="D24" s="700">
        <f>SUM('uppdat-hjälpberäkn'!N72)</f>
        <v>475</v>
      </c>
      <c r="E24" s="167"/>
      <c r="F24" s="586" t="s">
        <v>279</v>
      </c>
      <c r="G24" s="712">
        <f>SUM('ink eft 65,67, uppskjutet uttag'!T27)</f>
        <v>0</v>
      </c>
      <c r="H24" s="584"/>
      <c r="I24" s="713">
        <f>SUM(I23*12)</f>
        <v>0</v>
      </c>
    </row>
    <row r="25" spans="1:9" ht="12.75">
      <c r="A25" s="167"/>
      <c r="B25" s="698">
        <f>SUM('uppdat-hjälpberäkn'!L73)</f>
        <v>11364</v>
      </c>
      <c r="C25" s="699">
        <f>SUM('uppdat-hjälpberäkn'!M73)</f>
        <v>11541</v>
      </c>
      <c r="D25" s="700">
        <f>SUM('uppdat-hjälpberäkn'!N73)</f>
        <v>525</v>
      </c>
      <c r="E25" s="167"/>
      <c r="F25" s="165"/>
      <c r="G25" s="165"/>
      <c r="H25" s="165"/>
      <c r="I25" s="165"/>
    </row>
    <row r="26" spans="1:5" ht="12.75">
      <c r="A26" s="167"/>
      <c r="B26" s="698">
        <f>SUM('uppdat-hjälpberäkn'!L74)</f>
        <v>11542</v>
      </c>
      <c r="C26" s="699">
        <f>SUM('uppdat-hjälpberäkn'!M74)</f>
        <v>11718</v>
      </c>
      <c r="D26" s="700">
        <f>SUM('uppdat-hjälpberäkn'!N74)</f>
        <v>575</v>
      </c>
      <c r="E26" s="167"/>
    </row>
    <row r="27" spans="1:9" ht="12.75">
      <c r="A27" s="167"/>
      <c r="B27" s="698">
        <f>SUM('uppdat-hjälpberäkn'!L75)</f>
        <v>11719</v>
      </c>
      <c r="C27" s="699">
        <f>SUM('uppdat-hjälpberäkn'!M75)</f>
        <v>14914</v>
      </c>
      <c r="D27" s="700">
        <f>SUM('uppdat-hjälpberäkn'!N75)</f>
        <v>600</v>
      </c>
      <c r="E27" s="167"/>
      <c r="G27" s="172"/>
      <c r="H27" s="172"/>
      <c r="I27" s="172"/>
    </row>
    <row r="28" spans="1:9" ht="12.75">
      <c r="A28" s="167"/>
      <c r="B28" s="698">
        <f>SUM('uppdat-hjälpberäkn'!L76)</f>
        <v>14915</v>
      </c>
      <c r="C28" s="699">
        <f>SUM('uppdat-hjälpberäkn'!M76)</f>
        <v>15181</v>
      </c>
      <c r="D28" s="700">
        <f>SUM('uppdat-hjälpberäkn'!N76)</f>
        <v>575</v>
      </c>
      <c r="E28" s="167"/>
      <c r="G28" s="172"/>
      <c r="H28" s="172"/>
      <c r="I28" s="172"/>
    </row>
    <row r="29" spans="1:9" ht="12.75">
      <c r="A29" s="167"/>
      <c r="B29" s="698">
        <f>SUM('uppdat-hjälpberäkn'!L77)</f>
        <v>15182</v>
      </c>
      <c r="C29" s="699">
        <f>SUM('uppdat-hjälpberäkn'!M77)</f>
        <v>15447</v>
      </c>
      <c r="D29" s="700">
        <f>SUM('uppdat-hjälpberäkn'!N77)</f>
        <v>525</v>
      </c>
      <c r="E29" s="167"/>
      <c r="G29" s="172"/>
      <c r="H29" s="172"/>
      <c r="I29" s="172"/>
    </row>
    <row r="30" spans="1:9" ht="12.75">
      <c r="A30" s="167"/>
      <c r="B30" s="698">
        <f>SUM('uppdat-hjälpberäkn'!L78)</f>
        <v>15448</v>
      </c>
      <c r="C30" s="699">
        <f>SUM('uppdat-hjälpberäkn'!M78)</f>
        <v>15714</v>
      </c>
      <c r="D30" s="700">
        <f>SUM('uppdat-hjälpberäkn'!N78)</f>
        <v>475</v>
      </c>
      <c r="E30" s="167"/>
      <c r="G30" s="752"/>
      <c r="H30" s="172"/>
      <c r="I30" s="172"/>
    </row>
    <row r="31" spans="1:9" ht="12.75">
      <c r="A31" s="167"/>
      <c r="B31" s="698">
        <f>SUM('uppdat-hjälpberäkn'!L79)</f>
        <v>15715</v>
      </c>
      <c r="C31" s="699">
        <f>SUM('uppdat-hjälpberäkn'!M79)</f>
        <v>15980</v>
      </c>
      <c r="D31" s="700">
        <f>SUM('uppdat-hjälpberäkn'!N79)</f>
        <v>425</v>
      </c>
      <c r="E31" s="167"/>
      <c r="F31" s="104"/>
      <c r="G31" s="753"/>
      <c r="H31" s="104"/>
      <c r="I31" s="754"/>
    </row>
    <row r="32" spans="1:9" ht="12.75">
      <c r="A32" s="167"/>
      <c r="B32" s="698">
        <f>SUM('uppdat-hjälpberäkn'!L80)</f>
        <v>15981</v>
      </c>
      <c r="C32" s="699">
        <f>SUM('uppdat-hjälpberäkn'!M80)</f>
        <v>16246</v>
      </c>
      <c r="D32" s="700">
        <f>SUM('uppdat-hjälpberäkn'!N80)</f>
        <v>375</v>
      </c>
      <c r="E32" s="167"/>
      <c r="F32" s="104"/>
      <c r="G32" s="417"/>
      <c r="H32" s="663"/>
      <c r="I32" s="754"/>
    </row>
    <row r="33" spans="1:9" ht="12.75">
      <c r="A33" s="167"/>
      <c r="B33" s="698">
        <f>SUM('uppdat-hjälpberäkn'!L81)</f>
        <v>16247</v>
      </c>
      <c r="C33" s="699">
        <f>SUM('uppdat-hjälpberäkn'!M81)</f>
        <v>16512</v>
      </c>
      <c r="D33" s="700">
        <f>SUM('uppdat-hjälpberäkn'!N81)</f>
        <v>325</v>
      </c>
      <c r="E33" s="167"/>
      <c r="F33" s="755"/>
      <c r="G33" s="756"/>
      <c r="H33" s="755"/>
      <c r="I33" s="757"/>
    </row>
    <row r="34" spans="1:9" ht="12.75">
      <c r="A34" s="167"/>
      <c r="B34" s="698">
        <f>SUM('uppdat-hjälpberäkn'!L82)</f>
        <v>16513</v>
      </c>
      <c r="C34" s="699">
        <f>SUM('uppdat-hjälpberäkn'!M82)</f>
        <v>16779</v>
      </c>
      <c r="D34" s="700">
        <f>SUM('uppdat-hjälpberäkn'!N82)</f>
        <v>275</v>
      </c>
      <c r="E34" s="167"/>
      <c r="F34" s="104"/>
      <c r="G34" s="758"/>
      <c r="H34" s="172"/>
      <c r="I34" s="172"/>
    </row>
    <row r="35" spans="1:9" ht="12.75">
      <c r="A35" s="167"/>
      <c r="B35" s="698">
        <f>SUM('uppdat-hjälpberäkn'!L83)</f>
        <v>16780</v>
      </c>
      <c r="C35" s="699">
        <f>SUM('uppdat-hjälpberäkn'!M83)</f>
        <v>17045</v>
      </c>
      <c r="D35" s="700">
        <f>SUM('uppdat-hjälpberäkn'!N83)</f>
        <v>225</v>
      </c>
      <c r="E35" s="167"/>
      <c r="F35" s="104"/>
      <c r="G35" s="753"/>
      <c r="H35" s="104"/>
      <c r="I35" s="754"/>
    </row>
    <row r="36" spans="1:9" ht="12.75">
      <c r="A36" s="167"/>
      <c r="B36" s="698">
        <f>SUM('uppdat-hjälpberäkn'!L84)</f>
        <v>17046</v>
      </c>
      <c r="C36" s="699">
        <f>SUM('uppdat-hjälpberäkn'!M84)</f>
        <v>17311</v>
      </c>
      <c r="D36" s="700">
        <f>SUM('uppdat-hjälpberäkn'!N84)</f>
        <v>175</v>
      </c>
      <c r="E36" s="167"/>
      <c r="F36" s="104"/>
      <c r="G36" s="417"/>
      <c r="H36" s="663"/>
      <c r="I36" s="754"/>
    </row>
    <row r="37" spans="1:9" ht="12.75">
      <c r="A37" s="167"/>
      <c r="B37" s="698">
        <f>SUM('uppdat-hjälpberäkn'!L85)</f>
        <v>17312</v>
      </c>
      <c r="C37" s="699">
        <f>SUM('uppdat-hjälpberäkn'!M85)</f>
        <v>17578</v>
      </c>
      <c r="D37" s="700">
        <f>SUM('uppdat-hjälpberäkn'!N85)</f>
        <v>125</v>
      </c>
      <c r="E37" s="167"/>
      <c r="F37" s="759"/>
      <c r="G37" s="760"/>
      <c r="H37" s="755"/>
      <c r="I37" s="757"/>
    </row>
    <row r="38" spans="1:9" ht="12.75">
      <c r="A38" s="167"/>
      <c r="B38" s="698">
        <f>SUM('uppdat-hjälpberäkn'!L86)</f>
        <v>17579</v>
      </c>
      <c r="C38" s="699">
        <f>SUM('uppdat-hjälpberäkn'!M86)</f>
        <v>17844</v>
      </c>
      <c r="D38" s="700">
        <f>SUM('uppdat-hjälpberäkn'!N86)</f>
        <v>75</v>
      </c>
      <c r="E38" s="167"/>
      <c r="G38" s="172"/>
      <c r="H38" s="172"/>
      <c r="I38" s="172"/>
    </row>
    <row r="39" spans="1:5" ht="12.75">
      <c r="A39" s="167"/>
      <c r="B39" s="701">
        <f>SUM('uppdat-hjälpberäkn'!L87)</f>
        <v>17845</v>
      </c>
      <c r="C39" s="702">
        <f>SUM('uppdat-hjälpberäkn'!M87)</f>
        <v>18112</v>
      </c>
      <c r="D39" s="703">
        <f>SUM('uppdat-hjälpberäkn'!N87)</f>
        <v>25</v>
      </c>
      <c r="E39" s="167"/>
    </row>
    <row r="40" spans="1:5" ht="12.75">
      <c r="A40" s="167"/>
      <c r="B40" s="167"/>
      <c r="C40" s="167"/>
      <c r="D40" s="167"/>
      <c r="E40" s="167"/>
    </row>
  </sheetData>
  <sheetProtection password="C248" sheet="1"/>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J155"/>
  <sheetViews>
    <sheetView zoomScalePageLayoutView="0" workbookViewId="0" topLeftCell="O1">
      <selection activeCell="S1" sqref="S1"/>
    </sheetView>
  </sheetViews>
  <sheetFormatPr defaultColWidth="9.140625" defaultRowHeight="12.75"/>
  <cols>
    <col min="1" max="1" width="9.8515625" style="0" customWidth="1"/>
    <col min="2" max="3" width="10.421875" style="0" customWidth="1"/>
    <col min="4" max="4" width="15.140625" style="0" customWidth="1"/>
    <col min="5" max="5" width="10.140625" style="0" bestFit="1" customWidth="1"/>
    <col min="6" max="6" width="10.140625" style="0" customWidth="1"/>
    <col min="7" max="8" width="9.57421875" style="0" customWidth="1"/>
    <col min="9" max="9" width="8.421875" style="0" customWidth="1"/>
    <col min="11" max="11" width="10.57421875" style="0" customWidth="1"/>
    <col min="12" max="12" width="10.421875" style="0" customWidth="1"/>
    <col min="13" max="13" width="11.140625" style="0" bestFit="1" customWidth="1"/>
    <col min="16" max="17" width="10.140625" style="0" bestFit="1" customWidth="1"/>
    <col min="19" max="19" width="11.140625" style="0" bestFit="1" customWidth="1"/>
    <col min="22" max="22" width="11.7109375" style="0" bestFit="1" customWidth="1"/>
    <col min="25" max="25" width="11.140625" style="0" customWidth="1"/>
    <col min="27" max="27" width="10.140625" style="0" bestFit="1" customWidth="1"/>
    <col min="31" max="31" width="16.57421875" style="0" customWidth="1"/>
    <col min="32" max="32" width="10.140625" style="0" bestFit="1" customWidth="1"/>
    <col min="34" max="34" width="10.140625" style="0" bestFit="1" customWidth="1"/>
  </cols>
  <sheetData>
    <row r="1" spans="4:30" ht="13.5" thickBot="1">
      <c r="D1" s="239" t="s">
        <v>260</v>
      </c>
      <c r="F1" s="258" t="s">
        <v>261</v>
      </c>
      <c r="K1" s="258" t="s">
        <v>262</v>
      </c>
      <c r="P1" s="258" t="s">
        <v>263</v>
      </c>
      <c r="T1" t="s">
        <v>264</v>
      </c>
      <c r="V1" t="s">
        <v>265</v>
      </c>
      <c r="X1" s="167"/>
      <c r="Y1" s="167"/>
      <c r="Z1" s="167"/>
      <c r="AA1" s="167"/>
      <c r="AB1" s="167"/>
      <c r="AC1" s="167"/>
      <c r="AD1" s="167"/>
    </row>
    <row r="2" spans="1:30" ht="13.5" thickBot="1">
      <c r="A2" s="259" t="s">
        <v>266</v>
      </c>
      <c r="B2" s="260"/>
      <c r="C2" s="260"/>
      <c r="D2" s="261" t="s">
        <v>267</v>
      </c>
      <c r="E2" s="262" t="s">
        <v>268</v>
      </c>
      <c r="F2" s="262" t="s">
        <v>269</v>
      </c>
      <c r="G2" s="263" t="s">
        <v>270</v>
      </c>
      <c r="K2" s="264" t="s">
        <v>269</v>
      </c>
      <c r="L2" t="s">
        <v>271</v>
      </c>
      <c r="P2" t="s">
        <v>272</v>
      </c>
      <c r="Q2" t="s">
        <v>270</v>
      </c>
      <c r="T2">
        <v>1937</v>
      </c>
      <c r="U2" t="s">
        <v>273</v>
      </c>
      <c r="V2" s="265">
        <f>SUM(FAKTA!K5)</f>
        <v>0</v>
      </c>
      <c r="X2" s="167" t="s">
        <v>265</v>
      </c>
      <c r="Y2" s="451">
        <f>SUM(FAKTA!K5)</f>
        <v>0</v>
      </c>
      <c r="Z2" s="167" t="s">
        <v>264</v>
      </c>
      <c r="AA2" s="167"/>
      <c r="AB2" s="167"/>
      <c r="AC2" s="167"/>
      <c r="AD2" s="167"/>
    </row>
    <row r="3" spans="1:32" ht="12.75">
      <c r="A3" s="262" t="s">
        <v>265</v>
      </c>
      <c r="B3" s="379">
        <f>SUM(FAKTA!K5)</f>
        <v>0</v>
      </c>
      <c r="C3" s="379"/>
      <c r="D3" s="266" t="str">
        <f>IF(AND(B5=2,B6=29),"ja","nej")</f>
        <v>nej</v>
      </c>
      <c r="E3" s="267">
        <f>IF(B3=0,0,DATE(B9,B5,1))</f>
        <v>0</v>
      </c>
      <c r="F3" s="268">
        <f>DATE(B11,B5,0)</f>
        <v>24472</v>
      </c>
      <c r="G3" s="269">
        <f>YEAR(F3)</f>
        <v>1966</v>
      </c>
      <c r="K3" s="268">
        <f>DATE(B12,B5,0)</f>
        <v>24837</v>
      </c>
      <c r="L3">
        <f>YEAR(K3)</f>
        <v>1967</v>
      </c>
      <c r="P3" s="268">
        <f>DATE(B10,B5,0)</f>
        <v>24107</v>
      </c>
      <c r="Q3" s="262">
        <f>YEAR(P3)</f>
        <v>1965</v>
      </c>
      <c r="T3">
        <v>1938</v>
      </c>
      <c r="U3" t="s">
        <v>273</v>
      </c>
      <c r="V3" s="69">
        <f>YEAR(V2)</f>
        <v>1900</v>
      </c>
      <c r="W3" t="s">
        <v>92</v>
      </c>
      <c r="X3" s="167" t="s">
        <v>92</v>
      </c>
      <c r="Y3" s="167">
        <f>IF(Y2="","",YEAR(Y2))</f>
        <v>1900</v>
      </c>
      <c r="Z3" s="452" t="e">
        <f>IF(Y2="","",LOOKUP(Y3,X9:X108,Y9:Y108))</f>
        <v>#N/A</v>
      </c>
      <c r="AA3" s="167"/>
      <c r="AB3" s="167"/>
      <c r="AC3" s="167"/>
      <c r="AD3" s="167"/>
      <c r="AF3" s="69"/>
    </row>
    <row r="4" spans="1:32" ht="12.75">
      <c r="A4" s="262" t="s">
        <v>92</v>
      </c>
      <c r="B4" s="262">
        <f>YEAR(B3)</f>
        <v>1900</v>
      </c>
      <c r="C4" s="262"/>
      <c r="D4" s="270" t="s">
        <v>274</v>
      </c>
      <c r="E4" s="271">
        <f>MONTH(E3)</f>
        <v>1</v>
      </c>
      <c r="F4" s="271">
        <f>MONTH(F3)</f>
        <v>12</v>
      </c>
      <c r="G4" s="272">
        <f>SUM(F4)</f>
        <v>12</v>
      </c>
      <c r="K4" s="271">
        <f>MONTH(K3)</f>
        <v>12</v>
      </c>
      <c r="O4" t="s">
        <v>275</v>
      </c>
      <c r="P4" s="69">
        <f>MONTH(P3)</f>
        <v>12</v>
      </c>
      <c r="T4">
        <v>1939</v>
      </c>
      <c r="U4" t="s">
        <v>273</v>
      </c>
      <c r="V4" s="69">
        <f>MONTH(V2)</f>
        <v>1</v>
      </c>
      <c r="W4" t="s">
        <v>275</v>
      </c>
      <c r="X4" s="167" t="s">
        <v>275</v>
      </c>
      <c r="Y4" s="167">
        <f>IF(Y2="","",MONTH(Y2))</f>
        <v>1</v>
      </c>
      <c r="Z4" s="167" t="s">
        <v>395</v>
      </c>
      <c r="AA4" s="167"/>
      <c r="AB4" s="167"/>
      <c r="AC4" s="167"/>
      <c r="AD4" s="167"/>
      <c r="AF4" s="663"/>
    </row>
    <row r="5" spans="1:32" ht="12.75">
      <c r="A5" s="262" t="s">
        <v>275</v>
      </c>
      <c r="B5" s="262">
        <f>MONTH(B3)</f>
        <v>1</v>
      </c>
      <c r="C5" s="262"/>
      <c r="D5" s="266">
        <f>IF(B3=0,"",LOOKUP(B4,T2:T155,U2:U155))</f>
      </c>
      <c r="E5" s="273">
        <f>SUM(13-E4)</f>
        <v>12</v>
      </c>
      <c r="F5" s="273">
        <f>SUM(F4)</f>
        <v>12</v>
      </c>
      <c r="K5" s="273">
        <f>SUM(K4)</f>
        <v>12</v>
      </c>
      <c r="P5" s="273">
        <f>SUM(P4)</f>
        <v>12</v>
      </c>
      <c r="T5">
        <v>1940</v>
      </c>
      <c r="U5" t="s">
        <v>276</v>
      </c>
      <c r="V5" s="69">
        <f>DAY(V2)</f>
        <v>0</v>
      </c>
      <c r="W5" t="s">
        <v>277</v>
      </c>
      <c r="X5" s="167" t="s">
        <v>277</v>
      </c>
      <c r="Y5" s="167">
        <f>IF(Y2="","",DAY(Y2))</f>
        <v>0</v>
      </c>
      <c r="Z5" s="452" t="str">
        <f>IF(Y2="","",IF(AND(Y4=2,Y5=29),"ja","nej"))</f>
        <v>nej</v>
      </c>
      <c r="AA5" s="167"/>
      <c r="AB5" s="167"/>
      <c r="AC5" s="167"/>
      <c r="AD5" s="167"/>
      <c r="AF5" s="69"/>
    </row>
    <row r="6" spans="1:32" ht="12.75">
      <c r="A6" s="262" t="s">
        <v>277</v>
      </c>
      <c r="B6" s="262">
        <f>DAY(B3)</f>
        <v>0</v>
      </c>
      <c r="C6" s="262"/>
      <c r="D6" s="262"/>
      <c r="E6" s="262"/>
      <c r="F6" s="262"/>
      <c r="G6" t="s">
        <v>278</v>
      </c>
      <c r="H6" t="s">
        <v>279</v>
      </c>
      <c r="I6" t="s">
        <v>61</v>
      </c>
      <c r="L6" t="s">
        <v>278</v>
      </c>
      <c r="M6" t="s">
        <v>279</v>
      </c>
      <c r="T6">
        <v>1941</v>
      </c>
      <c r="U6" t="s">
        <v>273</v>
      </c>
      <c r="V6" t="s">
        <v>280</v>
      </c>
      <c r="X6" s="167"/>
      <c r="Y6" s="453" t="e">
        <f>IF(Y2="","",IF(AND(Z3="ja",Z5="ja"),DATE(Y3+'uppdat-hjälpberäkn'!N1,Y4,Y5-1),DATE(Y3+'uppdat-hjälpberäkn'!N1,Y4,Y5)))</f>
        <v>#N/A</v>
      </c>
      <c r="Z6" s="167"/>
      <c r="AA6" s="167"/>
      <c r="AB6" s="167"/>
      <c r="AC6" s="167"/>
      <c r="AD6" s="167"/>
      <c r="AF6" s="284"/>
    </row>
    <row r="7" spans="1:32" ht="12.75">
      <c r="A7" s="262" t="s">
        <v>281</v>
      </c>
      <c r="B7" s="274">
        <f>IF(AND(D3="ja",D5="ja"),DATE(B9,B5,B6-1),DATE(B9,B5,B6))</f>
        <v>23742</v>
      </c>
      <c r="C7" s="652"/>
      <c r="D7" s="262"/>
      <c r="E7" s="262" t="s">
        <v>278</v>
      </c>
      <c r="F7" s="262">
        <f>SUM(B9)</f>
        <v>1965</v>
      </c>
      <c r="G7" s="275">
        <f>SUM(E5)</f>
        <v>12</v>
      </c>
      <c r="H7" s="276">
        <f>SUM('ink eft pens, uttag 65,67'!E20)</f>
        <v>0</v>
      </c>
      <c r="I7" s="189">
        <f>SUM(H7*G7/12)</f>
        <v>0</v>
      </c>
      <c r="J7" t="s">
        <v>278</v>
      </c>
      <c r="K7">
        <f>SUM(B9)</f>
        <v>1965</v>
      </c>
      <c r="L7" s="275">
        <f>SUM(G7)</f>
        <v>12</v>
      </c>
      <c r="M7" s="276">
        <f>SUM('ink eft pens, uttag 65,67'!E20)</f>
        <v>0</v>
      </c>
      <c r="N7" s="189">
        <f>SUM(M7*L7/12)</f>
        <v>0</v>
      </c>
      <c r="T7">
        <v>1942</v>
      </c>
      <c r="U7" t="s">
        <v>273</v>
      </c>
      <c r="V7" s="69" t="str">
        <f>IF(AND(V4=2,V5=29),"ja","nej")</f>
        <v>nej</v>
      </c>
      <c r="X7" s="167"/>
      <c r="Y7" s="167"/>
      <c r="Z7" s="167"/>
      <c r="AA7" s="167"/>
      <c r="AB7" s="167"/>
      <c r="AC7" s="167"/>
      <c r="AD7" s="167"/>
      <c r="AF7" s="663"/>
    </row>
    <row r="8" spans="1:30" ht="12.75">
      <c r="A8" s="262"/>
      <c r="B8" s="262"/>
      <c r="C8" s="262"/>
      <c r="D8" s="262"/>
      <c r="E8" s="262" t="s">
        <v>282</v>
      </c>
      <c r="F8" s="262">
        <f>SUM(F7+1)</f>
        <v>1966</v>
      </c>
      <c r="G8" s="277">
        <f>IF(F9="",G4,"")</f>
        <v>12</v>
      </c>
      <c r="H8" s="276">
        <f>SUM('ink eft pens, uttag 65,67'!E21)</f>
        <v>0</v>
      </c>
      <c r="I8" s="189">
        <f>SUM(H8)</f>
        <v>0</v>
      </c>
      <c r="J8" t="s">
        <v>282</v>
      </c>
      <c r="K8">
        <f>SUM(K7+1)</f>
        <v>1966</v>
      </c>
      <c r="M8" s="276">
        <f>SUM('ink eft pens, uttag 65,67'!E21)</f>
        <v>0</v>
      </c>
      <c r="N8" s="189">
        <f>SUM(M8)</f>
        <v>0</v>
      </c>
      <c r="Q8" t="s">
        <v>567</v>
      </c>
      <c r="T8">
        <v>1943</v>
      </c>
      <c r="U8" t="s">
        <v>273</v>
      </c>
      <c r="V8" t="s">
        <v>283</v>
      </c>
      <c r="X8" s="454" t="s">
        <v>264</v>
      </c>
      <c r="Y8" s="535"/>
      <c r="Z8" s="458">
        <v>65</v>
      </c>
      <c r="AA8" s="458">
        <f>IF(Y2="","",(Y3+65))</f>
        <v>1965</v>
      </c>
      <c r="AB8" s="167"/>
      <c r="AC8" s="167"/>
      <c r="AD8" s="167"/>
    </row>
    <row r="9" spans="1:30" ht="13.5" thickBot="1">
      <c r="A9" s="653">
        <v>65</v>
      </c>
      <c r="B9" s="473">
        <f>SUM(B4+65)</f>
        <v>1965</v>
      </c>
      <c r="C9" s="654">
        <f>LOOKUP(A9,$H$12:$H$22,$D$12:$D$22)</f>
        <v>0.0101</v>
      </c>
      <c r="D9" s="104"/>
      <c r="E9" s="104" t="s">
        <v>278</v>
      </c>
      <c r="F9" s="104">
        <f>IF(B11&gt;G3,"",B11)</f>
      </c>
      <c r="G9" s="275">
        <f>IF(F9="","",F5)</f>
      </c>
      <c r="H9" s="276">
        <f>SUM('ink eft pens, uttag 65,67'!E22)</f>
        <v>0</v>
      </c>
      <c r="I9" s="189">
        <f>SUM(H9*F4/12)</f>
        <v>0</v>
      </c>
      <c r="J9" t="s">
        <v>284</v>
      </c>
      <c r="K9">
        <f>SUM(K7+2)</f>
        <v>1967</v>
      </c>
      <c r="M9" s="276">
        <f>SUM('ink eft pens, uttag 65,67'!E22)</f>
        <v>0</v>
      </c>
      <c r="N9" s="189">
        <f>SUM(M9)</f>
        <v>0</v>
      </c>
      <c r="Q9" t="s">
        <v>568</v>
      </c>
      <c r="T9">
        <v>1944</v>
      </c>
      <c r="U9" t="s">
        <v>276</v>
      </c>
      <c r="V9" s="69" t="e">
        <f>LOOKUP(V3,T2:T155,U2:U155)</f>
        <v>#N/A</v>
      </c>
      <c r="X9" s="456">
        <v>1937</v>
      </c>
      <c r="Y9" s="74" t="s">
        <v>273</v>
      </c>
      <c r="Z9" s="458">
        <v>66</v>
      </c>
      <c r="AA9" s="536">
        <f>IF(Y2="","",SUM(AA8+1))</f>
        <v>1966</v>
      </c>
      <c r="AB9" s="167"/>
      <c r="AC9" s="167"/>
      <c r="AD9" s="167"/>
    </row>
    <row r="10" spans="1:30" ht="12.75">
      <c r="A10" s="650">
        <v>66</v>
      </c>
      <c r="B10" s="102">
        <f>SUM(B4+66)</f>
        <v>1966</v>
      </c>
      <c r="C10" s="655">
        <f aca="true" t="shared" si="0" ref="C10:C19">LOOKUP(A10,$H$12:$H$22,$D$12:$D$22)</f>
        <v>0.0104</v>
      </c>
      <c r="D10" s="104"/>
      <c r="E10" s="278"/>
      <c r="F10" s="279"/>
      <c r="J10" t="s">
        <v>284</v>
      </c>
      <c r="K10">
        <f>SUM(K7+3)</f>
        <v>1968</v>
      </c>
      <c r="M10" s="276">
        <f>SUM('ink eft pens, uttag 65,67'!E23)</f>
        <v>0</v>
      </c>
      <c r="N10" s="189">
        <f>SUM(M10)</f>
        <v>0</v>
      </c>
      <c r="Q10" t="s">
        <v>416</v>
      </c>
      <c r="S10" s="646" t="s">
        <v>376</v>
      </c>
      <c r="T10">
        <v>1945</v>
      </c>
      <c r="U10" t="s">
        <v>273</v>
      </c>
      <c r="V10" s="640" t="s">
        <v>508</v>
      </c>
      <c r="W10" s="641" t="s">
        <v>437</v>
      </c>
      <c r="X10" s="458">
        <v>1938</v>
      </c>
      <c r="Y10" s="74" t="s">
        <v>273</v>
      </c>
      <c r="Z10" s="458">
        <v>67</v>
      </c>
      <c r="AA10" s="536">
        <f>IF(Y2="","",SUM(AA9+1))</f>
        <v>1967</v>
      </c>
      <c r="AB10" s="167"/>
      <c r="AC10" s="167"/>
      <c r="AD10" s="167"/>
    </row>
    <row r="11" spans="1:30" ht="12.75">
      <c r="A11" s="649">
        <v>67</v>
      </c>
      <c r="B11" s="358">
        <f>SUM(B4+67)</f>
        <v>1967</v>
      </c>
      <c r="C11" s="655">
        <f t="shared" si="0"/>
        <v>0.0108</v>
      </c>
      <c r="D11" s="638" t="s">
        <v>100</v>
      </c>
      <c r="E11" s="473" t="s">
        <v>287</v>
      </c>
      <c r="F11" s="225"/>
      <c r="G11" s="225" t="s">
        <v>4</v>
      </c>
      <c r="H11" s="539" t="s">
        <v>437</v>
      </c>
      <c r="J11" t="s">
        <v>284</v>
      </c>
      <c r="K11">
        <f>SUM(K7+4)</f>
        <v>1969</v>
      </c>
      <c r="M11" s="276">
        <f>SUM('ink eft pens, uttag 65,67'!E24)</f>
        <v>0</v>
      </c>
      <c r="N11" s="189">
        <f>SUM(M11)</f>
        <v>0</v>
      </c>
      <c r="Q11" s="284" t="e">
        <f>DATE(YEAR(V11),MONTH(V11),0)</f>
        <v>#N/A</v>
      </c>
      <c r="S11" s="647">
        <f>V3+W11</f>
        <v>1965</v>
      </c>
      <c r="T11">
        <v>1946</v>
      </c>
      <c r="U11" t="s">
        <v>273</v>
      </c>
      <c r="V11" s="642" t="e">
        <f>IF(AND(V7="ja",V9="ja"),DATE(V3+W11,V4,V5-1),DATE(V3+'uppdat-hjälpberäkn'!N1,V4,V5))</f>
        <v>#N/A</v>
      </c>
      <c r="W11" s="643">
        <v>65</v>
      </c>
      <c r="X11" s="458">
        <v>1939</v>
      </c>
      <c r="Y11" s="74" t="s">
        <v>273</v>
      </c>
      <c r="Z11" s="458">
        <v>68</v>
      </c>
      <c r="AA11" s="536">
        <f>IF(Y2="","",SUM(AA10+1))</f>
        <v>1968</v>
      </c>
      <c r="AB11" s="167"/>
      <c r="AC11" s="167"/>
      <c r="AD11" s="167"/>
    </row>
    <row r="12" spans="1:30" ht="12.75">
      <c r="A12" s="649">
        <v>68</v>
      </c>
      <c r="B12" s="358">
        <f>SUM(B4+68)</f>
        <v>1968</v>
      </c>
      <c r="C12" s="655">
        <f t="shared" si="0"/>
        <v>0.0112</v>
      </c>
      <c r="D12" s="639">
        <f aca="true" t="shared" si="1" ref="D12:D22">ROUND(E12,4)</f>
        <v>0.0101</v>
      </c>
      <c r="E12" s="475">
        <f aca="true" t="shared" si="2" ref="E12:E22">SUM(18.5%*0.93/G12)</f>
        <v>0.010061403508771929</v>
      </c>
      <c r="F12" s="476" t="s">
        <v>288</v>
      </c>
      <c r="G12" s="477">
        <f>SUM('uppdat-hjälpberäkn'!N4)</f>
        <v>17.1</v>
      </c>
      <c r="H12" s="540">
        <v>65</v>
      </c>
      <c r="I12">
        <f>SUM(B9)</f>
        <v>1965</v>
      </c>
      <c r="J12" t="s">
        <v>278</v>
      </c>
      <c r="K12">
        <f>SUM(B12)</f>
        <v>1968</v>
      </c>
      <c r="L12" s="275">
        <f>SUM(K5)</f>
        <v>12</v>
      </c>
      <c r="M12" s="276">
        <f>SUM('ink eft pens, uttag 65,67'!E28)</f>
        <v>0</v>
      </c>
      <c r="N12" s="189">
        <f>SUM(M12*K4/12)</f>
        <v>0</v>
      </c>
      <c r="Q12" s="284" t="e">
        <f aca="true" t="shared" si="3" ref="Q12:Q21">DATE(YEAR(V12),MONTH(V12),0)</f>
        <v>#N/A</v>
      </c>
      <c r="S12" s="647">
        <f aca="true" t="shared" si="4" ref="S12:S21">SUM(S11+1)</f>
        <v>1966</v>
      </c>
      <c r="T12">
        <v>1947</v>
      </c>
      <c r="U12" t="s">
        <v>273</v>
      </c>
      <c r="V12" s="642" t="e">
        <f aca="true" t="shared" si="5" ref="V12:V21">IF(AND($V$7="ja",$V$9="ja"),DATE(S12,$V$4,$V$5-1),DATE(S12,$V$4,$V$5))</f>
        <v>#N/A</v>
      </c>
      <c r="W12" s="643">
        <v>66</v>
      </c>
      <c r="X12" s="458">
        <v>1940</v>
      </c>
      <c r="Y12" s="74" t="s">
        <v>276</v>
      </c>
      <c r="Z12" s="458">
        <v>69</v>
      </c>
      <c r="AA12" s="536">
        <f>IF(Y2="","",SUM(AA11+1))</f>
        <v>1969</v>
      </c>
      <c r="AB12" s="167"/>
      <c r="AC12" s="167"/>
      <c r="AD12" s="167"/>
    </row>
    <row r="13" spans="1:30" ht="12.75">
      <c r="A13" s="656">
        <v>69</v>
      </c>
      <c r="B13" s="358">
        <f>SUM(B4+69)</f>
        <v>1969</v>
      </c>
      <c r="C13" s="655">
        <f t="shared" si="0"/>
        <v>0.0117</v>
      </c>
      <c r="D13" s="639">
        <f t="shared" si="1"/>
        <v>0.0104</v>
      </c>
      <c r="E13" s="475">
        <f t="shared" si="2"/>
        <v>0.010427272727272728</v>
      </c>
      <c r="F13" s="476" t="s">
        <v>288</v>
      </c>
      <c r="G13" s="477">
        <f>SUM('uppdat-hjälpberäkn'!N5)</f>
        <v>16.5</v>
      </c>
      <c r="H13" s="540">
        <v>66</v>
      </c>
      <c r="I13">
        <f>SUM(I12+1)</f>
        <v>1966</v>
      </c>
      <c r="K13" s="102"/>
      <c r="L13" s="102"/>
      <c r="M13" s="102">
        <f>SUM(M15-2)</f>
        <v>1898</v>
      </c>
      <c r="N13" s="102">
        <v>65</v>
      </c>
      <c r="O13" s="651">
        <f aca="true" t="shared" si="6" ref="O13:O22">LOOKUP(N13,$H$12:$H$22,$D$12:$D$22)</f>
        <v>0.0101</v>
      </c>
      <c r="Q13" s="284" t="e">
        <f t="shared" si="3"/>
        <v>#N/A</v>
      </c>
      <c r="S13" s="647">
        <f t="shared" si="4"/>
        <v>1967</v>
      </c>
      <c r="T13">
        <v>1948</v>
      </c>
      <c r="U13" t="s">
        <v>276</v>
      </c>
      <c r="V13" s="642" t="e">
        <f t="shared" si="5"/>
        <v>#N/A</v>
      </c>
      <c r="W13" s="643">
        <v>67</v>
      </c>
      <c r="X13" s="458">
        <v>1941</v>
      </c>
      <c r="Y13" s="74" t="s">
        <v>273</v>
      </c>
      <c r="Z13" s="458">
        <v>70</v>
      </c>
      <c r="AA13" s="536">
        <f>IF(Y2="","",SUM(AA12+1))</f>
        <v>1970</v>
      </c>
      <c r="AB13" s="167"/>
      <c r="AC13" s="167"/>
      <c r="AD13" s="167"/>
    </row>
    <row r="14" spans="1:30" ht="12.75">
      <c r="A14" s="656">
        <v>70</v>
      </c>
      <c r="B14" s="358">
        <f aca="true" t="shared" si="7" ref="B14:B19">SUM($B$4+A14)</f>
        <v>1970</v>
      </c>
      <c r="C14" s="655">
        <f t="shared" si="0"/>
        <v>0.0121</v>
      </c>
      <c r="D14" s="639">
        <f t="shared" si="1"/>
        <v>0.0108</v>
      </c>
      <c r="E14" s="475">
        <f t="shared" si="2"/>
        <v>0.010820754716981133</v>
      </c>
      <c r="F14" s="476" t="s">
        <v>288</v>
      </c>
      <c r="G14" s="477">
        <f>SUM('uppdat-hjälpberäkn'!N6)</f>
        <v>15.9</v>
      </c>
      <c r="H14" s="540">
        <v>67</v>
      </c>
      <c r="I14">
        <f aca="true" t="shared" si="8" ref="I14:I22">SUM(I13+1)</f>
        <v>1967</v>
      </c>
      <c r="K14" s="358" t="s">
        <v>285</v>
      </c>
      <c r="L14" s="280">
        <f>SUM('ink eft pens, uttag 65,67'!I4)</f>
        <v>0</v>
      </c>
      <c r="M14" s="102">
        <f>SUM(M15-1)</f>
        <v>1899</v>
      </c>
      <c r="N14" s="102">
        <v>66</v>
      </c>
      <c r="O14" s="651">
        <f t="shared" si="6"/>
        <v>0.0104</v>
      </c>
      <c r="Q14" s="284" t="e">
        <f t="shared" si="3"/>
        <v>#N/A</v>
      </c>
      <c r="S14" s="647">
        <f t="shared" si="4"/>
        <v>1968</v>
      </c>
      <c r="T14">
        <v>1949</v>
      </c>
      <c r="U14" t="s">
        <v>273</v>
      </c>
      <c r="V14" s="642" t="e">
        <f t="shared" si="5"/>
        <v>#N/A</v>
      </c>
      <c r="W14" s="643">
        <v>68</v>
      </c>
      <c r="X14" s="458">
        <v>1942</v>
      </c>
      <c r="Y14" s="457" t="s">
        <v>273</v>
      </c>
      <c r="Z14" s="458">
        <v>71</v>
      </c>
      <c r="AA14" s="536">
        <f>IF(Y2="","",SUM(AA13+1))</f>
        <v>1971</v>
      </c>
      <c r="AB14" s="167"/>
      <c r="AC14" s="167"/>
      <c r="AD14" s="167"/>
    </row>
    <row r="15" spans="1:30" ht="12.75">
      <c r="A15" s="656">
        <v>71</v>
      </c>
      <c r="B15" s="358">
        <f t="shared" si="7"/>
        <v>1971</v>
      </c>
      <c r="C15" s="655">
        <f t="shared" si="0"/>
        <v>0.0127</v>
      </c>
      <c r="D15" s="639">
        <f t="shared" si="1"/>
        <v>0.0112</v>
      </c>
      <c r="E15" s="475">
        <f t="shared" si="2"/>
        <v>0.011245098039215687</v>
      </c>
      <c r="F15" s="476" t="s">
        <v>288</v>
      </c>
      <c r="G15" s="477">
        <f>SUM('uppdat-hjälpberäkn'!N7)</f>
        <v>15.3</v>
      </c>
      <c r="H15" s="540">
        <v>68</v>
      </c>
      <c r="I15">
        <f t="shared" si="8"/>
        <v>1968</v>
      </c>
      <c r="K15" s="358" t="s">
        <v>286</v>
      </c>
      <c r="L15" s="281">
        <f>SUM('ink eft pens, uttag 65,67'!G11)</f>
        <v>0</v>
      </c>
      <c r="M15" s="102">
        <f>YEAR(L15)</f>
        <v>1900</v>
      </c>
      <c r="N15" s="102">
        <v>67</v>
      </c>
      <c r="O15" s="651">
        <f t="shared" si="6"/>
        <v>0.0108</v>
      </c>
      <c r="Q15" s="284" t="e">
        <f t="shared" si="3"/>
        <v>#N/A</v>
      </c>
      <c r="S15" s="647">
        <f t="shared" si="4"/>
        <v>1969</v>
      </c>
      <c r="T15">
        <v>1950</v>
      </c>
      <c r="U15" t="s">
        <v>273</v>
      </c>
      <c r="V15" s="642" t="e">
        <f t="shared" si="5"/>
        <v>#N/A</v>
      </c>
      <c r="W15" s="643">
        <v>69</v>
      </c>
      <c r="X15" s="458">
        <v>1943</v>
      </c>
      <c r="Y15" s="457" t="s">
        <v>273</v>
      </c>
      <c r="Z15" s="458">
        <v>72</v>
      </c>
      <c r="AA15" s="536">
        <f>IF(Y2="","",SUM(AA14+1))</f>
        <v>1972</v>
      </c>
      <c r="AB15" s="167"/>
      <c r="AC15" s="167"/>
      <c r="AD15" s="167"/>
    </row>
    <row r="16" spans="1:33" ht="12.75">
      <c r="A16" s="656">
        <v>72</v>
      </c>
      <c r="B16" s="358">
        <f t="shared" si="7"/>
        <v>1972</v>
      </c>
      <c r="C16" s="655">
        <f t="shared" si="0"/>
        <v>0.0132</v>
      </c>
      <c r="D16" s="639">
        <f t="shared" si="1"/>
        <v>0.0117</v>
      </c>
      <c r="E16" s="475">
        <f t="shared" si="2"/>
        <v>0.011704081632653062</v>
      </c>
      <c r="F16" s="476" t="s">
        <v>288</v>
      </c>
      <c r="G16" s="477">
        <f>SUM('uppdat-hjälpberäkn'!N8)</f>
        <v>14.7</v>
      </c>
      <c r="H16" s="540">
        <v>69</v>
      </c>
      <c r="I16">
        <f t="shared" si="8"/>
        <v>1969</v>
      </c>
      <c r="K16" s="358" t="s">
        <v>272</v>
      </c>
      <c r="L16" s="281">
        <f>SUM('ink eft pens, uttag 65,67'!H11)</f>
        <v>0</v>
      </c>
      <c r="M16" s="102">
        <f>SUM(M15+1)</f>
        <v>1901</v>
      </c>
      <c r="N16" s="102">
        <v>68</v>
      </c>
      <c r="O16" s="651">
        <f t="shared" si="6"/>
        <v>0.0112</v>
      </c>
      <c r="Q16" s="284" t="e">
        <f t="shared" si="3"/>
        <v>#N/A</v>
      </c>
      <c r="S16" s="647">
        <f t="shared" si="4"/>
        <v>1970</v>
      </c>
      <c r="T16">
        <v>1951</v>
      </c>
      <c r="U16" t="s">
        <v>273</v>
      </c>
      <c r="V16" s="642" t="e">
        <f t="shared" si="5"/>
        <v>#N/A</v>
      </c>
      <c r="W16" s="643">
        <v>70</v>
      </c>
      <c r="X16" s="458">
        <v>1944</v>
      </c>
      <c r="Y16" s="457" t="s">
        <v>276</v>
      </c>
      <c r="Z16" s="458">
        <v>73</v>
      </c>
      <c r="AA16" s="536">
        <f>IF(Y2="","",SUM(AA15+1))</f>
        <v>1973</v>
      </c>
      <c r="AB16" s="167"/>
      <c r="AC16" s="167"/>
      <c r="AD16" s="554" t="s">
        <v>514</v>
      </c>
      <c r="AE16" s="535"/>
      <c r="AF16" s="535"/>
      <c r="AG16" s="455"/>
    </row>
    <row r="17" spans="1:33" ht="12.75">
      <c r="A17" s="656">
        <v>73</v>
      </c>
      <c r="B17" s="358">
        <f t="shared" si="7"/>
        <v>1973</v>
      </c>
      <c r="C17" s="655">
        <f t="shared" si="0"/>
        <v>0.0139</v>
      </c>
      <c r="D17" s="639">
        <f t="shared" si="1"/>
        <v>0.0121</v>
      </c>
      <c r="E17" s="475">
        <f t="shared" si="2"/>
        <v>0.012116197183098592</v>
      </c>
      <c r="F17" s="476" t="s">
        <v>288</v>
      </c>
      <c r="G17" s="477">
        <f>SUM('uppdat-hjälpberäkn'!N9)</f>
        <v>14.2</v>
      </c>
      <c r="H17" s="540">
        <v>70</v>
      </c>
      <c r="I17">
        <f t="shared" si="8"/>
        <v>1970</v>
      </c>
      <c r="K17" s="102"/>
      <c r="L17" s="102"/>
      <c r="M17" s="102">
        <f>SUM(M16+1)</f>
        <v>1902</v>
      </c>
      <c r="N17" s="102">
        <v>69</v>
      </c>
      <c r="O17" s="651">
        <f t="shared" si="6"/>
        <v>0.0117</v>
      </c>
      <c r="Q17" s="284" t="e">
        <f t="shared" si="3"/>
        <v>#N/A</v>
      </c>
      <c r="S17" s="647">
        <f t="shared" si="4"/>
        <v>1971</v>
      </c>
      <c r="T17">
        <v>1952</v>
      </c>
      <c r="U17" t="s">
        <v>276</v>
      </c>
      <c r="V17" s="642" t="e">
        <f t="shared" si="5"/>
        <v>#N/A</v>
      </c>
      <c r="W17" s="643">
        <v>71</v>
      </c>
      <c r="X17" s="458">
        <v>1945</v>
      </c>
      <c r="Y17" s="457" t="s">
        <v>273</v>
      </c>
      <c r="Z17" s="458">
        <v>74</v>
      </c>
      <c r="AA17" s="536">
        <f>IF(Y2="","",SUM(AA16+1))</f>
        <v>1974</v>
      </c>
      <c r="AB17" s="167"/>
      <c r="AC17" s="167"/>
      <c r="AD17" s="666"/>
      <c r="AE17" s="74"/>
      <c r="AF17" s="74"/>
      <c r="AG17" s="457"/>
    </row>
    <row r="18" spans="1:33" ht="12.75">
      <c r="A18" s="656">
        <v>74</v>
      </c>
      <c r="B18" s="358">
        <f t="shared" si="7"/>
        <v>1974</v>
      </c>
      <c r="C18" s="655">
        <f t="shared" si="0"/>
        <v>0.0146</v>
      </c>
      <c r="D18" s="639">
        <f t="shared" si="1"/>
        <v>0.0127</v>
      </c>
      <c r="E18" s="475">
        <f t="shared" si="2"/>
        <v>0.012650735294117648</v>
      </c>
      <c r="F18" s="476" t="s">
        <v>288</v>
      </c>
      <c r="G18" s="477">
        <f>SUM('uppdat-hjälpberäkn'!N10)</f>
        <v>13.6</v>
      </c>
      <c r="H18" s="540">
        <v>71</v>
      </c>
      <c r="I18">
        <f t="shared" si="8"/>
        <v>1971</v>
      </c>
      <c r="K18" s="102"/>
      <c r="L18" s="102"/>
      <c r="M18" s="102">
        <f aca="true" t="shared" si="9" ref="M18:M25">SUM(M17+1)</f>
        <v>1903</v>
      </c>
      <c r="N18" s="102">
        <v>70</v>
      </c>
      <c r="O18" s="651">
        <f t="shared" si="6"/>
        <v>0.0121</v>
      </c>
      <c r="Q18" s="284" t="e">
        <f t="shared" si="3"/>
        <v>#N/A</v>
      </c>
      <c r="S18" s="647">
        <f t="shared" si="4"/>
        <v>1972</v>
      </c>
      <c r="T18">
        <v>1953</v>
      </c>
      <c r="U18" t="s">
        <v>273</v>
      </c>
      <c r="V18" s="642" t="e">
        <f t="shared" si="5"/>
        <v>#N/A</v>
      </c>
      <c r="W18" s="643">
        <v>72</v>
      </c>
      <c r="X18" s="458">
        <v>1946</v>
      </c>
      <c r="Y18" s="457" t="s">
        <v>273</v>
      </c>
      <c r="Z18" s="458">
        <v>75</v>
      </c>
      <c r="AA18" s="536">
        <f>IF(Y2="","",SUM(AA17+1))</f>
        <v>1975</v>
      </c>
      <c r="AB18" s="167"/>
      <c r="AC18" s="167"/>
      <c r="AD18" s="666"/>
      <c r="AE18" s="74"/>
      <c r="AF18" s="74"/>
      <c r="AG18" s="457"/>
    </row>
    <row r="19" spans="1:33" ht="12.75">
      <c r="A19" s="657">
        <v>75</v>
      </c>
      <c r="B19" s="658">
        <f t="shared" si="7"/>
        <v>1975</v>
      </c>
      <c r="C19" s="659">
        <f t="shared" si="0"/>
        <v>0.0154</v>
      </c>
      <c r="D19" s="639">
        <f t="shared" si="1"/>
        <v>0.0132</v>
      </c>
      <c r="E19" s="475">
        <f t="shared" si="2"/>
        <v>0.013234615384615385</v>
      </c>
      <c r="F19" s="476" t="s">
        <v>288</v>
      </c>
      <c r="G19" s="477">
        <f>SUM('uppdat-hjälpberäkn'!N11)</f>
        <v>13</v>
      </c>
      <c r="H19" s="540">
        <v>72</v>
      </c>
      <c r="I19">
        <f t="shared" si="8"/>
        <v>1972</v>
      </c>
      <c r="K19" s="102"/>
      <c r="L19" s="102"/>
      <c r="M19" s="102">
        <f t="shared" si="9"/>
        <v>1904</v>
      </c>
      <c r="N19" s="102">
        <v>71</v>
      </c>
      <c r="O19" s="651">
        <f t="shared" si="6"/>
        <v>0.0127</v>
      </c>
      <c r="Q19" s="284" t="e">
        <f t="shared" si="3"/>
        <v>#N/A</v>
      </c>
      <c r="S19" s="647">
        <f t="shared" si="4"/>
        <v>1973</v>
      </c>
      <c r="T19">
        <v>1954</v>
      </c>
      <c r="U19" t="s">
        <v>273</v>
      </c>
      <c r="V19" s="642" t="e">
        <f t="shared" si="5"/>
        <v>#N/A</v>
      </c>
      <c r="W19" s="643">
        <v>73</v>
      </c>
      <c r="X19" s="458">
        <v>1947</v>
      </c>
      <c r="Y19" s="457" t="s">
        <v>273</v>
      </c>
      <c r="Z19" s="377" t="s">
        <v>396</v>
      </c>
      <c r="AA19" s="167"/>
      <c r="AB19" s="167"/>
      <c r="AC19" s="167"/>
      <c r="AD19" s="666"/>
      <c r="AE19" s="74"/>
      <c r="AF19" s="74"/>
      <c r="AG19" s="457"/>
    </row>
    <row r="20" spans="1:33" ht="12.75">
      <c r="A20" t="s">
        <v>509</v>
      </c>
      <c r="B20" s="264">
        <f>LARGE(B9:B19,1)</f>
        <v>1975</v>
      </c>
      <c r="D20" s="474">
        <f t="shared" si="1"/>
        <v>0.0139</v>
      </c>
      <c r="E20" s="475">
        <f t="shared" si="2"/>
        <v>0.013875</v>
      </c>
      <c r="F20" s="476" t="s">
        <v>288</v>
      </c>
      <c r="G20" s="477">
        <f>SUM('uppdat-hjälpberäkn'!N12)</f>
        <v>12.4</v>
      </c>
      <c r="H20" s="540">
        <v>73</v>
      </c>
      <c r="I20">
        <f t="shared" si="8"/>
        <v>1973</v>
      </c>
      <c r="K20" s="102"/>
      <c r="L20" s="102"/>
      <c r="M20" s="102">
        <f t="shared" si="9"/>
        <v>1905</v>
      </c>
      <c r="N20" s="102">
        <v>72</v>
      </c>
      <c r="O20" s="651">
        <f t="shared" si="6"/>
        <v>0.0132</v>
      </c>
      <c r="Q20" s="284" t="e">
        <f t="shared" si="3"/>
        <v>#N/A</v>
      </c>
      <c r="S20" s="647">
        <f t="shared" si="4"/>
        <v>1974</v>
      </c>
      <c r="T20">
        <v>1955</v>
      </c>
      <c r="U20" t="s">
        <v>273</v>
      </c>
      <c r="V20" s="642" t="e">
        <f t="shared" si="5"/>
        <v>#N/A</v>
      </c>
      <c r="W20" s="643">
        <v>74</v>
      </c>
      <c r="X20" s="458">
        <v>1948</v>
      </c>
      <c r="Y20" s="457" t="s">
        <v>276</v>
      </c>
      <c r="Z20" s="459" t="s">
        <v>397</v>
      </c>
      <c r="AA20" s="167"/>
      <c r="AB20" s="460">
        <f>IF('ink eft pens, uttag 65,67'!I4="","",SUM('ink eft pens, uttag 65,67'!I4))</f>
      </c>
      <c r="AC20" s="167"/>
      <c r="AD20" s="666" t="s">
        <v>397</v>
      </c>
      <c r="AE20" s="74"/>
      <c r="AF20" s="664">
        <f>SUM('ink eft 65,67, uppskjutet uttag'!N11)</f>
        <v>0</v>
      </c>
      <c r="AG20" s="457"/>
    </row>
    <row r="21" spans="1:33" ht="13.5" thickBot="1">
      <c r="A21" t="s">
        <v>510</v>
      </c>
      <c r="B21" s="264"/>
      <c r="D21" s="474">
        <f t="shared" si="1"/>
        <v>0.0146</v>
      </c>
      <c r="E21" s="475">
        <f t="shared" si="2"/>
        <v>0.014580508474576271</v>
      </c>
      <c r="F21" s="476" t="s">
        <v>288</v>
      </c>
      <c r="G21" s="477">
        <f>SUM('uppdat-hjälpberäkn'!N13)</f>
        <v>11.8</v>
      </c>
      <c r="H21" s="540">
        <v>74</v>
      </c>
      <c r="I21">
        <f t="shared" si="8"/>
        <v>1974</v>
      </c>
      <c r="K21" s="102"/>
      <c r="L21" s="102"/>
      <c r="M21" s="102">
        <f t="shared" si="9"/>
        <v>1906</v>
      </c>
      <c r="N21" s="102">
        <v>73</v>
      </c>
      <c r="O21" s="651">
        <f t="shared" si="6"/>
        <v>0.0139</v>
      </c>
      <c r="Q21" s="284" t="e">
        <f t="shared" si="3"/>
        <v>#N/A</v>
      </c>
      <c r="S21" s="648">
        <f t="shared" si="4"/>
        <v>1975</v>
      </c>
      <c r="T21">
        <v>1956</v>
      </c>
      <c r="U21" t="s">
        <v>276</v>
      </c>
      <c r="V21" s="644" t="e">
        <f t="shared" si="5"/>
        <v>#N/A</v>
      </c>
      <c r="W21" s="645">
        <v>75</v>
      </c>
      <c r="X21" s="458">
        <v>1949</v>
      </c>
      <c r="Y21" s="457" t="s">
        <v>273</v>
      </c>
      <c r="Z21" s="461" t="s">
        <v>398</v>
      </c>
      <c r="AA21" s="455"/>
      <c r="AB21" s="167"/>
      <c r="AC21" s="167"/>
      <c r="AD21" s="666" t="s">
        <v>515</v>
      </c>
      <c r="AE21" s="74"/>
      <c r="AF21" s="74"/>
      <c r="AG21" s="457"/>
    </row>
    <row r="22" spans="4:33" ht="12.75">
      <c r="D22" s="478">
        <f t="shared" si="1"/>
        <v>0.0154</v>
      </c>
      <c r="E22" s="479">
        <f t="shared" si="2"/>
        <v>0.015361607142857144</v>
      </c>
      <c r="F22" s="480" t="s">
        <v>288</v>
      </c>
      <c r="G22" s="481">
        <f>SUM('uppdat-hjälpberäkn'!N14)</f>
        <v>11.2</v>
      </c>
      <c r="H22" s="541">
        <v>75</v>
      </c>
      <c r="I22">
        <f t="shared" si="8"/>
        <v>1975</v>
      </c>
      <c r="K22" s="102"/>
      <c r="L22" s="102"/>
      <c r="M22" s="102">
        <f t="shared" si="9"/>
        <v>1907</v>
      </c>
      <c r="N22" s="102">
        <v>74</v>
      </c>
      <c r="O22" s="651">
        <f t="shared" si="6"/>
        <v>0.0146</v>
      </c>
      <c r="T22">
        <v>1957</v>
      </c>
      <c r="U22" t="s">
        <v>273</v>
      </c>
      <c r="X22" s="456">
        <v>1950</v>
      </c>
      <c r="Y22" s="457" t="s">
        <v>273</v>
      </c>
      <c r="Z22" s="456" t="s">
        <v>327</v>
      </c>
      <c r="AA22" s="462" t="s">
        <v>328</v>
      </c>
      <c r="AB22" s="167"/>
      <c r="AC22" s="167"/>
      <c r="AD22" s="666" t="s">
        <v>327</v>
      </c>
      <c r="AE22" s="74" t="s">
        <v>328</v>
      </c>
      <c r="AF22" s="74"/>
      <c r="AG22" s="457"/>
    </row>
    <row r="23" spans="2:34" ht="12.75">
      <c r="B23" t="s">
        <v>292</v>
      </c>
      <c r="K23" s="102"/>
      <c r="L23" s="102"/>
      <c r="M23" s="102">
        <f t="shared" si="9"/>
        <v>1908</v>
      </c>
      <c r="N23" s="102">
        <v>75</v>
      </c>
      <c r="O23" s="651">
        <f>LOOKUP(N23,$H$12:$H$22,$D$12:$D$22)</f>
        <v>0.0154</v>
      </c>
      <c r="T23">
        <v>1958</v>
      </c>
      <c r="U23" t="s">
        <v>273</v>
      </c>
      <c r="X23" s="456">
        <v>1951</v>
      </c>
      <c r="Y23" s="457" t="s">
        <v>273</v>
      </c>
      <c r="Z23" s="469" t="e">
        <f>IF(Y2="","",DATE(YEAR(Y6),MONTH(Y6),0+1))</f>
        <v>#N/A</v>
      </c>
      <c r="AA23" s="469">
        <f>IF(Y2="","",IF(AB20="","",DATE(LOOKUP(AB20,Z8:Z18,AA8:AA18),(Y4),DAY(0))))</f>
      </c>
      <c r="AB23" s="167"/>
      <c r="AC23" s="167"/>
      <c r="AD23" s="469" t="e">
        <f>IF(Y2="","",DATE(YEAR(Y6),MONTH(Y6),0+1))</f>
        <v>#N/A</v>
      </c>
      <c r="AE23" s="469" t="e">
        <f>IF(Y2="","",IF(AF20="","",DATE(LOOKUP(AF20,Z8:Z18,AA8:AA18),(Y4),DAY(0))))</f>
        <v>#N/A</v>
      </c>
      <c r="AF23" s="74"/>
      <c r="AG23" s="457"/>
      <c r="AH23" s="662"/>
    </row>
    <row r="24" spans="1:33" ht="12.75">
      <c r="A24" s="282">
        <f>SUM(D14/D12)</f>
        <v>1.0693069306930694</v>
      </c>
      <c r="B24" t="s">
        <v>261</v>
      </c>
      <c r="M24" s="102">
        <f t="shared" si="9"/>
        <v>1909</v>
      </c>
      <c r="N24" s="102">
        <v>75</v>
      </c>
      <c r="T24">
        <v>1959</v>
      </c>
      <c r="U24" t="s">
        <v>273</v>
      </c>
      <c r="X24" s="456">
        <v>1952</v>
      </c>
      <c r="Y24" s="457" t="s">
        <v>276</v>
      </c>
      <c r="Z24" s="181" t="s">
        <v>275</v>
      </c>
      <c r="AA24" s="181" t="s">
        <v>275</v>
      </c>
      <c r="AB24" s="181"/>
      <c r="AC24" s="167"/>
      <c r="AD24" s="666" t="s">
        <v>275</v>
      </c>
      <c r="AE24" s="74" t="s">
        <v>275</v>
      </c>
      <c r="AF24" s="74"/>
      <c r="AG24" s="457"/>
    </row>
    <row r="25" spans="1:33" ht="12.75">
      <c r="A25" s="282">
        <f>SUM(D17/D12)</f>
        <v>1.198019801980198</v>
      </c>
      <c r="B25" t="s">
        <v>262</v>
      </c>
      <c r="M25" s="102">
        <f t="shared" si="9"/>
        <v>1910</v>
      </c>
      <c r="N25" s="102">
        <v>75</v>
      </c>
      <c r="T25">
        <v>1960</v>
      </c>
      <c r="U25" t="s">
        <v>276</v>
      </c>
      <c r="X25" s="456">
        <v>1953</v>
      </c>
      <c r="Y25" s="457" t="s">
        <v>273</v>
      </c>
      <c r="Z25" s="452">
        <f>IF(AB20="","",MONTH(Z23))</f>
      </c>
      <c r="AA25" s="452">
        <f>IF(AB20="","",MONTH(AA23))</f>
      </c>
      <c r="AB25" s="463"/>
      <c r="AC25" s="167"/>
      <c r="AD25" s="452" t="e">
        <f>IF(AF20="","",MONTH(AD23))</f>
        <v>#N/A</v>
      </c>
      <c r="AE25" s="452" t="e">
        <f>IF(AF20="","",MONTH(AE23))</f>
        <v>#N/A</v>
      </c>
      <c r="AF25" s="74"/>
      <c r="AG25" s="457"/>
    </row>
    <row r="26" spans="4:33" ht="12.75">
      <c r="D26" s="283"/>
      <c r="T26">
        <v>1961</v>
      </c>
      <c r="U26" t="s">
        <v>273</v>
      </c>
      <c r="X26" s="456">
        <v>1954</v>
      </c>
      <c r="Y26" s="457" t="s">
        <v>273</v>
      </c>
      <c r="Z26" s="181"/>
      <c r="AA26" s="181" t="s">
        <v>399</v>
      </c>
      <c r="AB26" s="181"/>
      <c r="AC26" s="181" t="s">
        <v>38</v>
      </c>
      <c r="AD26" s="666"/>
      <c r="AE26" s="74"/>
      <c r="AF26" s="74"/>
      <c r="AG26" s="457"/>
    </row>
    <row r="27" spans="1:33" ht="12.75">
      <c r="A27" t="s">
        <v>261</v>
      </c>
      <c r="B27" t="s">
        <v>275</v>
      </c>
      <c r="D27" s="283"/>
      <c r="G27" t="s">
        <v>262</v>
      </c>
      <c r="H27" t="s">
        <v>275</v>
      </c>
      <c r="K27" t="s">
        <v>275</v>
      </c>
      <c r="M27" t="s">
        <v>263</v>
      </c>
      <c r="T27">
        <v>1962</v>
      </c>
      <c r="U27" t="s">
        <v>273</v>
      </c>
      <c r="X27" s="456">
        <v>1955</v>
      </c>
      <c r="Y27" s="457" t="s">
        <v>273</v>
      </c>
      <c r="Z27" s="181" t="s">
        <v>1</v>
      </c>
      <c r="AA27" s="181" t="s">
        <v>400</v>
      </c>
      <c r="AB27" s="181" t="s">
        <v>278</v>
      </c>
      <c r="AC27" s="181" t="s">
        <v>209</v>
      </c>
      <c r="AD27" s="666"/>
      <c r="AE27" s="74" t="s">
        <v>278</v>
      </c>
      <c r="AF27" s="74"/>
      <c r="AG27" s="457"/>
    </row>
    <row r="28" spans="1:33" ht="12.75">
      <c r="A28">
        <f>YEAR(E3)</f>
        <v>1900</v>
      </c>
      <c r="B28">
        <f>MONTH(E3)</f>
        <v>1</v>
      </c>
      <c r="D28" s="283"/>
      <c r="G28">
        <f>YEAR(E3)</f>
        <v>1900</v>
      </c>
      <c r="H28">
        <f>MONTH(E3)</f>
        <v>1</v>
      </c>
      <c r="I28" t="s">
        <v>293</v>
      </c>
      <c r="J28">
        <f>YEAR(K3)</f>
        <v>1967</v>
      </c>
      <c r="K28">
        <v>1</v>
      </c>
      <c r="M28">
        <f>SUM(A28)</f>
        <v>1900</v>
      </c>
      <c r="N28">
        <f>SUM(B28)</f>
        <v>1</v>
      </c>
      <c r="T28">
        <v>1963</v>
      </c>
      <c r="U28" t="s">
        <v>273</v>
      </c>
      <c r="X28" s="456">
        <v>1956</v>
      </c>
      <c r="Y28" s="457" t="s">
        <v>276</v>
      </c>
      <c r="Z28" s="452">
        <f>IF(AB20="","",YEAR(Z23))</f>
      </c>
      <c r="AA28" s="464">
        <f>SUM('ink eft pens, uttag 65,67'!E20)</f>
        <v>0</v>
      </c>
      <c r="AB28" s="465">
        <f>IF(Z28="","",IF(Z28&gt;0,SUM((13-Z25)/12),""))</f>
      </c>
      <c r="AC28" s="665">
        <f aca="true" t="shared" si="10" ref="AC28:AC38">IF(Z28="","",SUM(AA28*AB28))</f>
      </c>
      <c r="AD28" s="452" t="e">
        <f>IF(AF20="","",YEAR(AD23))</f>
        <v>#N/A</v>
      </c>
      <c r="AE28" s="465" t="e">
        <f>IF(AD28="","",IF(AD28&gt;0,SUM((13-AD25)/12),""))</f>
        <v>#N/A</v>
      </c>
      <c r="AF28" s="74"/>
      <c r="AG28" s="457"/>
    </row>
    <row r="29" spans="1:33" ht="12.75">
      <c r="A29">
        <f>IF(B28=12,A28+1,A28)</f>
        <v>1900</v>
      </c>
      <c r="B29">
        <f>IF(A29=A28,B28+1,1)</f>
        <v>2</v>
      </c>
      <c r="D29" s="284"/>
      <c r="G29">
        <f>IF(H28=12,"",G28)</f>
        <v>1900</v>
      </c>
      <c r="H29">
        <f>IF(G29="","",IF(H28=12,"",H28+1))</f>
        <v>2</v>
      </c>
      <c r="J29">
        <f>IF(K28=$K$4,"",J28)</f>
        <v>1967</v>
      </c>
      <c r="K29">
        <f>IF(J29="","",IF(J29=J28,K28+1,""))</f>
        <v>2</v>
      </c>
      <c r="M29">
        <f aca="true" t="shared" si="11" ref="M29:N39">SUM(A29)</f>
        <v>1900</v>
      </c>
      <c r="N29">
        <f t="shared" si="11"/>
        <v>2</v>
      </c>
      <c r="T29">
        <v>1964</v>
      </c>
      <c r="U29" t="s">
        <v>276</v>
      </c>
      <c r="X29" s="456">
        <v>1957</v>
      </c>
      <c r="Y29" s="457" t="s">
        <v>273</v>
      </c>
      <c r="Z29" s="452">
        <f>IF(AB20="","",IF(YEAR(AA23)&gt;Z28,Z28+1,""))</f>
      </c>
      <c r="AA29" s="464">
        <f>SUM('ink eft pens, uttag 65,67'!E21)</f>
        <v>0</v>
      </c>
      <c r="AB29" s="465">
        <f>IF(Z29="","",IF(AND(Z29&gt;0,Z30=""),SUM(AA25/12),1))</f>
      </c>
      <c r="AC29" s="665">
        <f t="shared" si="10"/>
      </c>
      <c r="AD29" s="452" t="e">
        <f>IF($AF$20="","",IF(YEAR($AE$23)&gt;AD28,AD28+1,""))</f>
        <v>#N/A</v>
      </c>
      <c r="AE29" s="465" t="e">
        <f>IF(AD29="","",IF(AND(AD29&gt;0,AD30=""),SUM(AE25/12),1))</f>
        <v>#N/A</v>
      </c>
      <c r="AF29" s="74"/>
      <c r="AG29" s="457"/>
    </row>
    <row r="30" spans="1:33" ht="12.75">
      <c r="A30">
        <f aca="true" t="shared" si="12" ref="A30:A51">IF(B29=12,A29+1,A29)</f>
        <v>1900</v>
      </c>
      <c r="B30">
        <f aca="true" t="shared" si="13" ref="B30:B51">IF(A30=A29,B29+1,1)</f>
        <v>3</v>
      </c>
      <c r="D30" s="283"/>
      <c r="G30">
        <f aca="true" t="shared" si="14" ref="G30:G39">IF(H29=12,"",G29)</f>
        <v>1900</v>
      </c>
      <c r="H30">
        <f aca="true" t="shared" si="15" ref="H30:H39">IF(G30="","",IF(H29=12,"",H29+1))</f>
        <v>3</v>
      </c>
      <c r="J30">
        <f aca="true" t="shared" si="16" ref="J30:J39">IF(K29=$K$4,"",J29)</f>
        <v>1967</v>
      </c>
      <c r="K30">
        <f aca="true" t="shared" si="17" ref="K30:K39">IF(J30="","",IF(J30=J29,K29+1,""))</f>
        <v>3</v>
      </c>
      <c r="M30">
        <f t="shared" si="11"/>
        <v>1900</v>
      </c>
      <c r="N30">
        <f t="shared" si="11"/>
        <v>3</v>
      </c>
      <c r="T30">
        <v>1965</v>
      </c>
      <c r="U30" t="s">
        <v>273</v>
      </c>
      <c r="X30" s="456">
        <v>1958</v>
      </c>
      <c r="Y30" s="457" t="s">
        <v>273</v>
      </c>
      <c r="Z30" s="452">
        <f>IF(AB20="","",IF(YEAR(AA23)&gt;Z29,Z29+1,""))</f>
      </c>
      <c r="AA30" s="464">
        <f>SUM('ink eft pens, uttag 65,67'!E22)</f>
        <v>0</v>
      </c>
      <c r="AB30" s="465">
        <f>IF(Z30="","",IF(AND(Z30&gt;0,Z31=""),SUM(AA25/12),1))</f>
      </c>
      <c r="AC30" s="665">
        <f t="shared" si="10"/>
      </c>
      <c r="AD30" s="452" t="e">
        <f aca="true" t="shared" si="18" ref="AD30:AD38">IF($AF$20="","",IF(YEAR($AE$23)&gt;AD29,AD29+1,""))</f>
        <v>#N/A</v>
      </c>
      <c r="AE30" s="465" t="e">
        <f>IF(AD30="","",IF(AND(AD30&gt;0,AD31=""),SUM($AE$25/12),1))</f>
        <v>#N/A</v>
      </c>
      <c r="AF30" s="74"/>
      <c r="AG30" s="457"/>
    </row>
    <row r="31" spans="1:33" ht="12.75">
      <c r="A31">
        <f t="shared" si="12"/>
        <v>1900</v>
      </c>
      <c r="B31">
        <f t="shared" si="13"/>
        <v>4</v>
      </c>
      <c r="G31">
        <f t="shared" si="14"/>
        <v>1900</v>
      </c>
      <c r="H31">
        <f t="shared" si="15"/>
        <v>4</v>
      </c>
      <c r="J31">
        <f t="shared" si="16"/>
        <v>1967</v>
      </c>
      <c r="K31">
        <f t="shared" si="17"/>
        <v>4</v>
      </c>
      <c r="M31">
        <f t="shared" si="11"/>
        <v>1900</v>
      </c>
      <c r="N31">
        <f t="shared" si="11"/>
        <v>4</v>
      </c>
      <c r="T31">
        <v>1966</v>
      </c>
      <c r="U31" t="s">
        <v>273</v>
      </c>
      <c r="X31" s="456">
        <v>1959</v>
      </c>
      <c r="Y31" s="457" t="s">
        <v>273</v>
      </c>
      <c r="Z31" s="452">
        <f>IF(AB20="","",IF(YEAR(AA23)&gt;Z30,Z30+1,""))</f>
      </c>
      <c r="AA31" s="464">
        <f>SUM('ink eft pens, uttag 65,67'!E23)</f>
        <v>0</v>
      </c>
      <c r="AB31" s="465">
        <f>IF(Z31="","",IF(AND(Z31&gt;0,Z32=""),SUM(AA25/12),1))</f>
      </c>
      <c r="AC31" s="665">
        <f t="shared" si="10"/>
      </c>
      <c r="AD31" s="452" t="e">
        <f t="shared" si="18"/>
        <v>#N/A</v>
      </c>
      <c r="AE31" s="465" t="e">
        <f aca="true" t="shared" si="19" ref="AE31:AE38">IF(AD31="","",IF(AND(AD31&gt;0,AD32=""),SUM($AE$25/12),1))</f>
        <v>#N/A</v>
      </c>
      <c r="AF31" s="74"/>
      <c r="AG31" s="457"/>
    </row>
    <row r="32" spans="1:33" ht="12.75">
      <c r="A32">
        <f t="shared" si="12"/>
        <v>1900</v>
      </c>
      <c r="B32">
        <f t="shared" si="13"/>
        <v>5</v>
      </c>
      <c r="G32">
        <f t="shared" si="14"/>
        <v>1900</v>
      </c>
      <c r="H32">
        <f t="shared" si="15"/>
        <v>5</v>
      </c>
      <c r="J32">
        <f t="shared" si="16"/>
        <v>1967</v>
      </c>
      <c r="K32">
        <f t="shared" si="17"/>
        <v>5</v>
      </c>
      <c r="M32">
        <f t="shared" si="11"/>
        <v>1900</v>
      </c>
      <c r="N32">
        <f t="shared" si="11"/>
        <v>5</v>
      </c>
      <c r="T32">
        <v>1967</v>
      </c>
      <c r="U32" t="s">
        <v>273</v>
      </c>
      <c r="X32" s="456">
        <v>1960</v>
      </c>
      <c r="Y32" s="457" t="s">
        <v>276</v>
      </c>
      <c r="Z32" s="452">
        <f>IF(AB20="","",IF(YEAR(AA23)&gt;Z31,Z31+1,""))</f>
      </c>
      <c r="AA32" s="464">
        <f>SUM('ink eft pens, uttag 65,67'!E24)</f>
        <v>0</v>
      </c>
      <c r="AB32" s="465">
        <f>IF(Z32="","",IF(AND(Z32&gt;0,Z33=""),SUM(AA25/12),1))</f>
      </c>
      <c r="AC32" s="665">
        <f t="shared" si="10"/>
      </c>
      <c r="AD32" s="452" t="e">
        <f t="shared" si="18"/>
        <v>#N/A</v>
      </c>
      <c r="AE32" s="465" t="e">
        <f t="shared" si="19"/>
        <v>#N/A</v>
      </c>
      <c r="AF32" s="74"/>
      <c r="AG32" s="457"/>
    </row>
    <row r="33" spans="1:33" ht="12.75">
      <c r="A33">
        <f t="shared" si="12"/>
        <v>1900</v>
      </c>
      <c r="B33">
        <f t="shared" si="13"/>
        <v>6</v>
      </c>
      <c r="G33">
        <f t="shared" si="14"/>
        <v>1900</v>
      </c>
      <c r="H33">
        <f t="shared" si="15"/>
        <v>6</v>
      </c>
      <c r="J33">
        <f t="shared" si="16"/>
        <v>1967</v>
      </c>
      <c r="K33">
        <f t="shared" si="17"/>
        <v>6</v>
      </c>
      <c r="M33">
        <f t="shared" si="11"/>
        <v>1900</v>
      </c>
      <c r="N33">
        <f t="shared" si="11"/>
        <v>6</v>
      </c>
      <c r="T33">
        <v>1968</v>
      </c>
      <c r="U33" t="s">
        <v>276</v>
      </c>
      <c r="X33" s="456">
        <v>1961</v>
      </c>
      <c r="Y33" s="457" t="s">
        <v>273</v>
      </c>
      <c r="Z33" s="452">
        <f>IF(AB20="","",IF(YEAR(AA23)&gt;Z32,Z32+1,""))</f>
      </c>
      <c r="AA33" s="464">
        <f>SUM('ink eft pens, uttag 65,67'!E25)</f>
        <v>0</v>
      </c>
      <c r="AB33" s="465">
        <f>IF(Z33="","",IF(AND(Z33&gt;0,Z34=""),SUM(AA25/12),1))</f>
      </c>
      <c r="AC33" s="665">
        <f t="shared" si="10"/>
      </c>
      <c r="AD33" s="452" t="e">
        <f t="shared" si="18"/>
        <v>#N/A</v>
      </c>
      <c r="AE33" s="465" t="e">
        <f t="shared" si="19"/>
        <v>#N/A</v>
      </c>
      <c r="AF33" s="74"/>
      <c r="AG33" s="457"/>
    </row>
    <row r="34" spans="1:33" ht="12.75">
      <c r="A34">
        <f t="shared" si="12"/>
        <v>1900</v>
      </c>
      <c r="B34">
        <f t="shared" si="13"/>
        <v>7</v>
      </c>
      <c r="G34">
        <f t="shared" si="14"/>
        <v>1900</v>
      </c>
      <c r="H34">
        <f t="shared" si="15"/>
        <v>7</v>
      </c>
      <c r="J34">
        <f t="shared" si="16"/>
        <v>1967</v>
      </c>
      <c r="K34">
        <f t="shared" si="17"/>
        <v>7</v>
      </c>
      <c r="M34">
        <f t="shared" si="11"/>
        <v>1900</v>
      </c>
      <c r="N34">
        <f t="shared" si="11"/>
        <v>7</v>
      </c>
      <c r="T34">
        <v>1969</v>
      </c>
      <c r="U34" t="s">
        <v>273</v>
      </c>
      <c r="X34" s="456">
        <v>1962</v>
      </c>
      <c r="Y34" s="457" t="s">
        <v>273</v>
      </c>
      <c r="Z34" s="452">
        <f>IF(AB20="","",IF(YEAR(AA23)&gt;Z33,Z33+1,""))</f>
      </c>
      <c r="AA34" s="464">
        <f>SUM('ink eft pens, uttag 65,67'!E26)</f>
        <v>0</v>
      </c>
      <c r="AB34" s="465">
        <f>IF(Z34="","",IF(AND(Z34&gt;0,Z35=""),SUM(AA25/12),1))</f>
      </c>
      <c r="AC34" s="665">
        <f t="shared" si="10"/>
      </c>
      <c r="AD34" s="452" t="e">
        <f t="shared" si="18"/>
        <v>#N/A</v>
      </c>
      <c r="AE34" s="465" t="e">
        <f t="shared" si="19"/>
        <v>#N/A</v>
      </c>
      <c r="AF34" s="74"/>
      <c r="AG34" s="457"/>
    </row>
    <row r="35" spans="1:33" ht="12.75">
      <c r="A35">
        <f t="shared" si="12"/>
        <v>1900</v>
      </c>
      <c r="B35">
        <f t="shared" si="13"/>
        <v>8</v>
      </c>
      <c r="G35">
        <f t="shared" si="14"/>
        <v>1900</v>
      </c>
      <c r="H35">
        <f t="shared" si="15"/>
        <v>8</v>
      </c>
      <c r="J35">
        <f t="shared" si="16"/>
        <v>1967</v>
      </c>
      <c r="K35">
        <f t="shared" si="17"/>
        <v>8</v>
      </c>
      <c r="M35">
        <f t="shared" si="11"/>
        <v>1900</v>
      </c>
      <c r="N35">
        <f t="shared" si="11"/>
        <v>8</v>
      </c>
      <c r="T35">
        <v>1970</v>
      </c>
      <c r="U35" t="s">
        <v>273</v>
      </c>
      <c r="X35" s="456">
        <v>1963</v>
      </c>
      <c r="Y35" s="457" t="s">
        <v>273</v>
      </c>
      <c r="Z35" s="452">
        <f>IF(AB20="","",IF(YEAR(AA23)&gt;Z34,Z34+1,""))</f>
      </c>
      <c r="AA35" s="464">
        <f>SUM('ink eft pens, uttag 65,67'!E27)</f>
        <v>0</v>
      </c>
      <c r="AB35" s="465">
        <f>IF(Z35="","",IF(AND(Z35&gt;0,Z36=""),SUM(AA25/12),1))</f>
      </c>
      <c r="AC35" s="665">
        <f t="shared" si="10"/>
      </c>
      <c r="AD35" s="452" t="e">
        <f t="shared" si="18"/>
        <v>#N/A</v>
      </c>
      <c r="AE35" s="465" t="e">
        <f t="shared" si="19"/>
        <v>#N/A</v>
      </c>
      <c r="AF35" s="74"/>
      <c r="AG35" s="457"/>
    </row>
    <row r="36" spans="1:33" ht="12.75">
      <c r="A36">
        <f t="shared" si="12"/>
        <v>1900</v>
      </c>
      <c r="B36">
        <f t="shared" si="13"/>
        <v>9</v>
      </c>
      <c r="G36">
        <f t="shared" si="14"/>
        <v>1900</v>
      </c>
      <c r="H36">
        <f t="shared" si="15"/>
        <v>9</v>
      </c>
      <c r="J36">
        <f t="shared" si="16"/>
        <v>1967</v>
      </c>
      <c r="K36">
        <f t="shared" si="17"/>
        <v>9</v>
      </c>
      <c r="M36">
        <f t="shared" si="11"/>
        <v>1900</v>
      </c>
      <c r="N36">
        <f t="shared" si="11"/>
        <v>9</v>
      </c>
      <c r="T36">
        <v>1971</v>
      </c>
      <c r="U36" t="s">
        <v>273</v>
      </c>
      <c r="X36" s="456">
        <v>1964</v>
      </c>
      <c r="Y36" s="457" t="s">
        <v>276</v>
      </c>
      <c r="Z36" s="452">
        <f>IF(AB20="","",IF(YEAR(AA23)&gt;Z35,Z35+1,""))</f>
      </c>
      <c r="AA36" s="464">
        <f>SUM('ink eft pens, uttag 65,67'!E28)</f>
        <v>0</v>
      </c>
      <c r="AB36" s="465">
        <f>IF(Z36="","",IF(AND(Z36&gt;0,Z37=""),SUM(AA25/12),1))</f>
      </c>
      <c r="AC36" s="665">
        <f t="shared" si="10"/>
      </c>
      <c r="AD36" s="452" t="e">
        <f t="shared" si="18"/>
        <v>#N/A</v>
      </c>
      <c r="AE36" s="465" t="e">
        <f t="shared" si="19"/>
        <v>#N/A</v>
      </c>
      <c r="AF36" s="74"/>
      <c r="AG36" s="457"/>
    </row>
    <row r="37" spans="1:33" ht="12.75">
      <c r="A37">
        <f t="shared" si="12"/>
        <v>1900</v>
      </c>
      <c r="B37">
        <f t="shared" si="13"/>
        <v>10</v>
      </c>
      <c r="G37">
        <f t="shared" si="14"/>
        <v>1900</v>
      </c>
      <c r="H37">
        <f t="shared" si="15"/>
        <v>10</v>
      </c>
      <c r="J37">
        <f t="shared" si="16"/>
        <v>1967</v>
      </c>
      <c r="K37">
        <f t="shared" si="17"/>
        <v>10</v>
      </c>
      <c r="M37">
        <f t="shared" si="11"/>
        <v>1900</v>
      </c>
      <c r="N37">
        <f t="shared" si="11"/>
        <v>10</v>
      </c>
      <c r="T37">
        <v>1972</v>
      </c>
      <c r="U37" t="s">
        <v>276</v>
      </c>
      <c r="X37" s="456">
        <v>1965</v>
      </c>
      <c r="Y37" s="457" t="s">
        <v>273</v>
      </c>
      <c r="Z37" s="452">
        <f>IF(AB20="","",IF(YEAR(AA23)&gt;Z36,Z36+1,""))</f>
      </c>
      <c r="AA37" s="464">
        <f>SUM('ink eft pens, uttag 65,67'!E29)</f>
        <v>0</v>
      </c>
      <c r="AB37" s="465">
        <f>IF(Z37="","",IF(AND(Z37&gt;0,Z38=""),SUM(AA25/12),1))</f>
      </c>
      <c r="AC37" s="665">
        <f t="shared" si="10"/>
      </c>
      <c r="AD37" s="452" t="e">
        <f t="shared" si="18"/>
        <v>#N/A</v>
      </c>
      <c r="AE37" s="465" t="e">
        <f t="shared" si="19"/>
        <v>#N/A</v>
      </c>
      <c r="AF37" s="74"/>
      <c r="AG37" s="457"/>
    </row>
    <row r="38" spans="1:33" ht="12.75">
      <c r="A38">
        <f t="shared" si="12"/>
        <v>1900</v>
      </c>
      <c r="B38">
        <f t="shared" si="13"/>
        <v>11</v>
      </c>
      <c r="G38">
        <f t="shared" si="14"/>
        <v>1900</v>
      </c>
      <c r="H38">
        <f t="shared" si="15"/>
        <v>11</v>
      </c>
      <c r="J38">
        <f t="shared" si="16"/>
        <v>1967</v>
      </c>
      <c r="K38">
        <f t="shared" si="17"/>
        <v>11</v>
      </c>
      <c r="M38">
        <f t="shared" si="11"/>
        <v>1900</v>
      </c>
      <c r="N38">
        <f t="shared" si="11"/>
        <v>11</v>
      </c>
      <c r="T38">
        <v>1973</v>
      </c>
      <c r="U38" t="s">
        <v>273</v>
      </c>
      <c r="X38" s="456">
        <v>1966</v>
      </c>
      <c r="Y38" s="457" t="s">
        <v>273</v>
      </c>
      <c r="Z38" s="452">
        <f>IF(AB20="","",IF(YEAR(AA23)&gt;Z37,Z37+1,""))</f>
      </c>
      <c r="AA38" s="464">
        <f>SUM('ink eft pens, uttag 65,67'!E30)</f>
        <v>0</v>
      </c>
      <c r="AB38" s="465">
        <f>IF(Z38="","",IF(AND(Z38&gt;0,Z39=""),SUM(AA25/12),1))</f>
      </c>
      <c r="AC38" s="665">
        <f t="shared" si="10"/>
      </c>
      <c r="AD38" s="452" t="e">
        <f t="shared" si="18"/>
        <v>#N/A</v>
      </c>
      <c r="AE38" s="465" t="e">
        <f t="shared" si="19"/>
        <v>#N/A</v>
      </c>
      <c r="AF38" s="667"/>
      <c r="AG38" s="468"/>
    </row>
    <row r="39" spans="1:30" ht="13.5" thickBot="1">
      <c r="A39">
        <f t="shared" si="12"/>
        <v>1900</v>
      </c>
      <c r="B39">
        <f t="shared" si="13"/>
        <v>12</v>
      </c>
      <c r="G39" s="285">
        <f t="shared" si="14"/>
        <v>1900</v>
      </c>
      <c r="H39" s="285">
        <f t="shared" si="15"/>
        <v>12</v>
      </c>
      <c r="J39" s="285">
        <f t="shared" si="16"/>
        <v>1967</v>
      </c>
      <c r="K39" s="285">
        <f t="shared" si="17"/>
        <v>12</v>
      </c>
      <c r="M39" s="285">
        <f t="shared" si="11"/>
        <v>1900</v>
      </c>
      <c r="N39">
        <f t="shared" si="11"/>
        <v>12</v>
      </c>
      <c r="T39">
        <v>1974</v>
      </c>
      <c r="U39" t="s">
        <v>273</v>
      </c>
      <c r="X39" s="456">
        <v>1967</v>
      </c>
      <c r="Y39" s="457" t="s">
        <v>273</v>
      </c>
      <c r="AB39" s="466">
        <f>SUM(AB28:AB38)</f>
        <v>0</v>
      </c>
      <c r="AC39" s="204">
        <f>SUM(AC28:AC38)</f>
        <v>0</v>
      </c>
      <c r="AD39" s="167"/>
    </row>
    <row r="40" spans="1:36" ht="12.75">
      <c r="A40">
        <f t="shared" si="12"/>
        <v>1901</v>
      </c>
      <c r="B40">
        <f t="shared" si="13"/>
        <v>1</v>
      </c>
      <c r="J40" t="s">
        <v>294</v>
      </c>
      <c r="T40">
        <v>1975</v>
      </c>
      <c r="U40" t="s">
        <v>273</v>
      </c>
      <c r="X40" s="456">
        <v>1968</v>
      </c>
      <c r="Y40" s="457" t="s">
        <v>276</v>
      </c>
      <c r="Z40" s="377" t="s">
        <v>493</v>
      </c>
      <c r="AA40" s="167"/>
      <c r="AB40" s="167"/>
      <c r="AC40" s="167"/>
      <c r="AD40" s="167"/>
      <c r="AE40" s="167" t="s">
        <v>503</v>
      </c>
      <c r="AF40" s="167"/>
      <c r="AG40" s="167"/>
      <c r="AH40" s="167"/>
      <c r="AI40" s="167"/>
      <c r="AJ40" s="167"/>
    </row>
    <row r="41" spans="1:36" ht="12.75">
      <c r="A41">
        <f t="shared" si="12"/>
        <v>1901</v>
      </c>
      <c r="B41">
        <f t="shared" si="13"/>
        <v>2</v>
      </c>
      <c r="F41" t="s">
        <v>295</v>
      </c>
      <c r="H41" s="69">
        <f>COUNTIF(G28:G39,"&gt;0")</f>
        <v>12</v>
      </c>
      <c r="J41" t="s">
        <v>293</v>
      </c>
      <c r="K41" s="69">
        <f>COUNTIF(J28:J39,"&gt;0")</f>
        <v>12</v>
      </c>
      <c r="M41" t="s">
        <v>296</v>
      </c>
      <c r="T41">
        <v>1976</v>
      </c>
      <c r="U41" t="s">
        <v>276</v>
      </c>
      <c r="X41" s="456">
        <v>1969</v>
      </c>
      <c r="Y41" s="457" t="s">
        <v>273</v>
      </c>
      <c r="Z41" s="167" t="s">
        <v>511</v>
      </c>
      <c r="AA41" s="167"/>
      <c r="AB41" s="167"/>
      <c r="AC41" s="167"/>
      <c r="AD41" s="167"/>
      <c r="AE41" s="167"/>
      <c r="AF41" s="167"/>
      <c r="AG41" s="167"/>
      <c r="AH41" s="167"/>
      <c r="AI41" s="181" t="s">
        <v>1</v>
      </c>
      <c r="AJ41" s="167" t="s">
        <v>278</v>
      </c>
    </row>
    <row r="42" spans="1:36" ht="12.75">
      <c r="A42">
        <f t="shared" si="12"/>
        <v>1901</v>
      </c>
      <c r="B42">
        <f t="shared" si="13"/>
        <v>3</v>
      </c>
      <c r="M42" s="286">
        <f>SUM(M28)</f>
        <v>1900</v>
      </c>
      <c r="N42" s="198">
        <f>COUNTIF($M$28:$M$39,M42)</f>
        <v>12</v>
      </c>
      <c r="T42">
        <v>1977</v>
      </c>
      <c r="U42" t="s">
        <v>273</v>
      </c>
      <c r="X42" s="456">
        <v>1970</v>
      </c>
      <c r="Y42" s="457" t="s">
        <v>273</v>
      </c>
      <c r="Z42" s="167"/>
      <c r="AA42" s="167"/>
      <c r="AB42" s="167"/>
      <c r="AC42" s="167"/>
      <c r="AD42" s="167"/>
      <c r="AE42" s="167" t="s">
        <v>497</v>
      </c>
      <c r="AF42" s="167"/>
      <c r="AG42" s="631">
        <f>SUM('ink eft 65,67, uppskjutet uttag'!N11)</f>
        <v>0</v>
      </c>
      <c r="AH42" s="634" t="e">
        <f>IF(Y2="","",IF(AG42="","",DATE(LOOKUP(AG42,Z8:Z18,AA8:AA18),(Y4),DAY(0))))</f>
        <v>#N/A</v>
      </c>
      <c r="AI42" s="181" t="e">
        <f>LOOKUP(AG42,Z8:Z18,AA8:AA18)</f>
        <v>#N/A</v>
      </c>
      <c r="AJ42" s="629" t="e">
        <f>IF(AI42="","",SUM($AF$49/12))</f>
        <v>#N/A</v>
      </c>
    </row>
    <row r="43" spans="1:36" ht="12.75">
      <c r="A43">
        <f t="shared" si="12"/>
        <v>1901</v>
      </c>
      <c r="B43">
        <f t="shared" si="13"/>
        <v>4</v>
      </c>
      <c r="M43" s="287">
        <f>IF(N42&lt;12,M42+1,"")</f>
      </c>
      <c r="N43" s="227">
        <f>IF(M43="","",COUNTIF($M$28:$M$39,M43))</f>
      </c>
      <c r="T43">
        <v>1978</v>
      </c>
      <c r="U43" t="s">
        <v>273</v>
      </c>
      <c r="X43" s="456">
        <v>1971</v>
      </c>
      <c r="Y43" s="457" t="s">
        <v>273</v>
      </c>
      <c r="Z43" s="459" t="s">
        <v>397</v>
      </c>
      <c r="AA43" s="167"/>
      <c r="AB43" s="460">
        <f>IF(AND(Y3&gt;=1958,Y3&lt;1961),('ink eft 65,67, uppskjutet uttag'!F2),IF('ink eft 65,67, uppskjutet uttag'!F2="","",'ink eft 65,67, uppskjutet uttag'!F2))</f>
      </c>
      <c r="AC43" s="167">
        <f>IF(AB43="","",LOOKUP(AB43,Z62:Z67,AA62:AA67))</f>
      </c>
      <c r="AD43" s="167"/>
      <c r="AE43" s="167" t="s">
        <v>326</v>
      </c>
      <c r="AF43" s="167"/>
      <c r="AG43" s="631">
        <f>SUM('ink eft 65,67, uppskjutet uttag'!I12)</f>
        <v>0</v>
      </c>
      <c r="AH43" s="634">
        <f>SUM('ink eft 65,67, uppskjutet uttag'!O10:P10)</f>
        <v>0</v>
      </c>
      <c r="AI43" s="181">
        <f>YEAR(AH43)</f>
        <v>1900</v>
      </c>
      <c r="AJ43" s="629" t="e">
        <f>IF(AE51="","",IF(AE51&gt;0,SUM((13-AE49)/12),""))</f>
        <v>#N/A</v>
      </c>
    </row>
    <row r="44" spans="1:36" ht="12.75">
      <c r="A44">
        <f t="shared" si="12"/>
        <v>1901</v>
      </c>
      <c r="B44">
        <f t="shared" si="13"/>
        <v>5</v>
      </c>
      <c r="T44">
        <v>1979</v>
      </c>
      <c r="U44" t="s">
        <v>273</v>
      </c>
      <c r="X44" s="456">
        <v>1972</v>
      </c>
      <c r="Y44" s="457" t="s">
        <v>276</v>
      </c>
      <c r="Z44" s="461" t="s">
        <v>398</v>
      </c>
      <c r="AA44" s="455"/>
      <c r="AB44" s="181"/>
      <c r="AC44" s="167"/>
      <c r="AD44" s="167"/>
      <c r="AE44" s="167"/>
      <c r="AF44" s="167"/>
      <c r="AG44" s="167"/>
      <c r="AH44" s="167"/>
      <c r="AI44" s="167"/>
      <c r="AJ44" s="167"/>
    </row>
    <row r="45" spans="1:36" ht="12.75">
      <c r="A45">
        <f t="shared" si="12"/>
        <v>1901</v>
      </c>
      <c r="B45">
        <f t="shared" si="13"/>
        <v>6</v>
      </c>
      <c r="T45">
        <v>1980</v>
      </c>
      <c r="U45" t="s">
        <v>276</v>
      </c>
      <c r="X45" s="456">
        <v>1973</v>
      </c>
      <c r="Y45" s="457" t="s">
        <v>273</v>
      </c>
      <c r="Z45" s="456" t="s">
        <v>327</v>
      </c>
      <c r="AA45" s="462" t="s">
        <v>328</v>
      </c>
      <c r="AB45" s="167"/>
      <c r="AC45" s="181" t="s">
        <v>1</v>
      </c>
      <c r="AD45" s="181" t="s">
        <v>495</v>
      </c>
      <c r="AE45" s="880" t="s">
        <v>1</v>
      </c>
      <c r="AF45" s="881"/>
      <c r="AG45" s="167"/>
      <c r="AH45" s="167"/>
      <c r="AI45" s="167"/>
      <c r="AJ45" s="167"/>
    </row>
    <row r="46" spans="1:36" ht="12.75">
      <c r="A46">
        <f t="shared" si="12"/>
        <v>1901</v>
      </c>
      <c r="B46">
        <f t="shared" si="13"/>
        <v>7</v>
      </c>
      <c r="T46">
        <v>1981</v>
      </c>
      <c r="U46" t="s">
        <v>273</v>
      </c>
      <c r="X46" s="456">
        <v>1974</v>
      </c>
      <c r="Y46" s="457" t="s">
        <v>273</v>
      </c>
      <c r="Z46" s="469" t="e">
        <f>IF(AB43=0,"",DATE(YEAR(Y6),MONTH(Y6),0+1))</f>
        <v>#N/A</v>
      </c>
      <c r="AA46" s="469" t="e">
        <f>IF(Y2="","",IF(AB43=0,"",DATE(LOOKUP(AB43,Z62:Z67,AA62:AA67),(Y4),DAY(0))))</f>
        <v>#N/A</v>
      </c>
      <c r="AB46" s="167"/>
      <c r="AC46" s="181" t="e">
        <f>YEAR(Z46)</f>
        <v>#N/A</v>
      </c>
      <c r="AD46" s="181" t="e">
        <f>SUM(AC46-V3)</f>
        <v>#N/A</v>
      </c>
      <c r="AE46" s="181" t="s">
        <v>327</v>
      </c>
      <c r="AF46" s="181" t="s">
        <v>328</v>
      </c>
      <c r="AG46" s="167"/>
      <c r="AH46" s="167"/>
      <c r="AI46" s="167"/>
      <c r="AJ46" s="167"/>
    </row>
    <row r="47" spans="1:36" ht="12.75">
      <c r="A47">
        <f t="shared" si="12"/>
        <v>1901</v>
      </c>
      <c r="B47">
        <f t="shared" si="13"/>
        <v>8</v>
      </c>
      <c r="T47">
        <v>1982</v>
      </c>
      <c r="U47" t="s">
        <v>273</v>
      </c>
      <c r="X47" s="456">
        <v>1975</v>
      </c>
      <c r="Y47" s="457" t="s">
        <v>273</v>
      </c>
      <c r="Z47" s="181" t="s">
        <v>275</v>
      </c>
      <c r="AA47" s="181" t="s">
        <v>275</v>
      </c>
      <c r="AB47" s="181"/>
      <c r="AC47" s="167"/>
      <c r="AD47" s="167"/>
      <c r="AE47" s="635">
        <f>SUM(AH43)</f>
        <v>0</v>
      </c>
      <c r="AF47" s="635" t="e">
        <f>SUM(AH42)</f>
        <v>#N/A</v>
      </c>
      <c r="AG47" s="167"/>
      <c r="AH47" s="167" t="e">
        <f>YEAR(AF47)</f>
        <v>#N/A</v>
      </c>
      <c r="AI47" s="167"/>
      <c r="AJ47" s="167"/>
    </row>
    <row r="48" spans="1:36" ht="12.75">
      <c r="A48">
        <f t="shared" si="12"/>
        <v>1901</v>
      </c>
      <c r="B48">
        <f t="shared" si="13"/>
        <v>9</v>
      </c>
      <c r="T48">
        <v>1983</v>
      </c>
      <c r="U48" t="s">
        <v>273</v>
      </c>
      <c r="X48" s="456">
        <v>1976</v>
      </c>
      <c r="Y48" s="457" t="s">
        <v>276</v>
      </c>
      <c r="Z48" s="452" t="e">
        <f>IF(AB43=0,"",MONTH(Z46))</f>
        <v>#N/A</v>
      </c>
      <c r="AA48" s="452" t="e">
        <f>IF(AA46="","",MONTH(AA46))</f>
        <v>#N/A</v>
      </c>
      <c r="AB48" s="463"/>
      <c r="AC48" s="167"/>
      <c r="AD48" s="167"/>
      <c r="AE48" s="636" t="s">
        <v>275</v>
      </c>
      <c r="AF48" s="636" t="s">
        <v>275</v>
      </c>
      <c r="AG48" s="167"/>
      <c r="AH48" s="167"/>
      <c r="AI48" s="167"/>
      <c r="AJ48" s="167"/>
    </row>
    <row r="49" spans="1:36" ht="12.75">
      <c r="A49">
        <f t="shared" si="12"/>
        <v>1901</v>
      </c>
      <c r="B49">
        <f t="shared" si="13"/>
        <v>10</v>
      </c>
      <c r="T49">
        <v>1984</v>
      </c>
      <c r="U49" t="s">
        <v>276</v>
      </c>
      <c r="X49" s="456">
        <v>1977</v>
      </c>
      <c r="Y49" s="457" t="s">
        <v>273</v>
      </c>
      <c r="Z49" s="181"/>
      <c r="AA49" s="181" t="s">
        <v>399</v>
      </c>
      <c r="AB49" s="181"/>
      <c r="AC49" s="181" t="s">
        <v>38</v>
      </c>
      <c r="AD49" s="181" t="s">
        <v>512</v>
      </c>
      <c r="AE49" s="568" t="e">
        <f>SUM(Z48)</f>
        <v>#N/A</v>
      </c>
      <c r="AF49" s="568" t="e">
        <f>SUM(AA48)</f>
        <v>#N/A</v>
      </c>
      <c r="AG49" s="167"/>
      <c r="AH49" s="167"/>
      <c r="AI49" s="167"/>
      <c r="AJ49" s="167"/>
    </row>
    <row r="50" spans="1:36" ht="12.75">
      <c r="A50">
        <f t="shared" si="12"/>
        <v>1901</v>
      </c>
      <c r="B50">
        <f t="shared" si="13"/>
        <v>11</v>
      </c>
      <c r="T50">
        <v>1985</v>
      </c>
      <c r="U50" t="s">
        <v>273</v>
      </c>
      <c r="X50" s="456">
        <v>1978</v>
      </c>
      <c r="Y50" s="457" t="s">
        <v>273</v>
      </c>
      <c r="Z50" s="181" t="s">
        <v>1</v>
      </c>
      <c r="AA50" s="181" t="s">
        <v>400</v>
      </c>
      <c r="AB50" s="181" t="s">
        <v>278</v>
      </c>
      <c r="AC50" s="181" t="s">
        <v>209</v>
      </c>
      <c r="AD50" s="181" t="s">
        <v>513</v>
      </c>
      <c r="AE50" s="181"/>
      <c r="AF50" s="181" t="s">
        <v>278</v>
      </c>
      <c r="AG50" s="632" t="s">
        <v>504</v>
      </c>
      <c r="AH50" s="167"/>
      <c r="AI50" s="167"/>
      <c r="AJ50" s="167"/>
    </row>
    <row r="51" spans="1:36" ht="12.75">
      <c r="A51">
        <f t="shared" si="12"/>
        <v>1901</v>
      </c>
      <c r="B51">
        <f t="shared" si="13"/>
        <v>12</v>
      </c>
      <c r="F51" t="s">
        <v>297</v>
      </c>
      <c r="J51" t="s">
        <v>262</v>
      </c>
      <c r="O51" t="s">
        <v>263</v>
      </c>
      <c r="T51">
        <v>1986</v>
      </c>
      <c r="U51" t="s">
        <v>273</v>
      </c>
      <c r="X51" s="456">
        <v>1979</v>
      </c>
      <c r="Y51" s="457" t="s">
        <v>273</v>
      </c>
      <c r="Z51" s="452">
        <f>IF(AB43="","",YEAR(Z46))</f>
      </c>
      <c r="AA51" s="464">
        <f>SUM('ink eft 65,67, uppskjutet uttag'!B32)</f>
        <v>0</v>
      </c>
      <c r="AB51" s="465">
        <f>IF(AD51="","",IF(AD51&gt;0,SUM((13-Z48)/12),""))</f>
      </c>
      <c r="AC51" s="204">
        <f aca="true" t="shared" si="20" ref="AC51:AC56">IF(Z51="","",SUM(AA51*AB51))</f>
      </c>
      <c r="AD51" s="167">
        <f>IF(Z51="","",Z51)</f>
      </c>
      <c r="AE51" s="181">
        <f>SUM(AI43)</f>
        <v>1900</v>
      </c>
      <c r="AF51" s="629" t="e">
        <f>IF(AE51="","",IF(AE51&gt;0,SUM((13-AE49)/12),""))</f>
        <v>#N/A</v>
      </c>
      <c r="AG51" s="633">
        <f>SUM(AG43)</f>
        <v>0</v>
      </c>
      <c r="AH51" s="630"/>
      <c r="AI51" s="167"/>
      <c r="AJ51" s="167"/>
    </row>
    <row r="52" spans="1:36" ht="12.75">
      <c r="A52" s="69" t="s">
        <v>298</v>
      </c>
      <c r="B52" s="69"/>
      <c r="C52" s="69"/>
      <c r="D52" s="69"/>
      <c r="F52" t="s">
        <v>61</v>
      </c>
      <c r="G52" t="s">
        <v>299</v>
      </c>
      <c r="I52" t="s">
        <v>296</v>
      </c>
      <c r="L52" t="s">
        <v>61</v>
      </c>
      <c r="M52" t="s">
        <v>299</v>
      </c>
      <c r="R52" t="s">
        <v>61</v>
      </c>
      <c r="S52" t="s">
        <v>299</v>
      </c>
      <c r="T52">
        <v>1987</v>
      </c>
      <c r="U52" t="s">
        <v>273</v>
      </c>
      <c r="X52" s="456">
        <v>1980</v>
      </c>
      <c r="Y52" s="457" t="s">
        <v>276</v>
      </c>
      <c r="Z52" s="452">
        <f>IF(AB43="","",IF(YEAR(AA46)&gt;Z51,Z51+1,""))</f>
      </c>
      <c r="AA52" s="464">
        <f>SUM('ink eft 65,67, uppskjutet uttag'!B33)</f>
        <v>0</v>
      </c>
      <c r="AB52" s="465">
        <f>IF(AD52="","",IF(AND(AD52&gt;0,AD53=""),SUM(AA48/12),1))</f>
      </c>
      <c r="AC52" s="204">
        <f t="shared" si="20"/>
      </c>
      <c r="AD52" s="167">
        <f>IF(AC43="","",IF($AC$43&gt;=Z51+1,Z51+1,""))</f>
      </c>
      <c r="AE52" s="181" t="e">
        <f>IF($AH$47&gt;AE51,AE51+1,"")</f>
        <v>#N/A</v>
      </c>
      <c r="AF52" s="629" t="e">
        <f>IF(AE52="","",IF(AND(AE52&gt;0,AE53=""),SUM($AF$49/12),1))</f>
        <v>#N/A</v>
      </c>
      <c r="AG52" s="633">
        <f>IF($AG$42&gt;$AG$51,AG51+1,"")</f>
      </c>
      <c r="AH52" s="630"/>
      <c r="AI52" s="181" t="s">
        <v>519</v>
      </c>
      <c r="AJ52" s="167"/>
    </row>
    <row r="53" spans="1:36" ht="12.75">
      <c r="A53" s="69">
        <f>SUM(A28)</f>
        <v>1900</v>
      </c>
      <c r="B53" s="69">
        <f>COUNTIF(A28:A51,A28)</f>
        <v>12</v>
      </c>
      <c r="C53" s="69"/>
      <c r="D53" s="288">
        <f>SUM(B53)</f>
        <v>12</v>
      </c>
      <c r="E53" s="289">
        <f>SUM(B53/12)</f>
        <v>1</v>
      </c>
      <c r="F53" s="276">
        <f>SUM('ink eft pens, uttag 65,67'!E20)</f>
        <v>0</v>
      </c>
      <c r="G53" s="189">
        <f>SUM(E53*F53)</f>
        <v>0</v>
      </c>
      <c r="I53">
        <f>SUM(G28)</f>
        <v>1900</v>
      </c>
      <c r="J53" s="288">
        <f>SUM(H41)</f>
        <v>12</v>
      </c>
      <c r="K53" s="290">
        <f>SUM(H41/12)</f>
        <v>1</v>
      </c>
      <c r="L53" s="276">
        <f>SUM('ink eft pens, uttag 65,67'!E20)</f>
        <v>0</v>
      </c>
      <c r="M53" s="189">
        <f aca="true" t="shared" si="21" ref="M53:M58">SUM(K53*L53)</f>
        <v>0</v>
      </c>
      <c r="O53" s="286">
        <f>SUM(M42)</f>
        <v>1900</v>
      </c>
      <c r="P53" s="291">
        <f>SUM(N42)</f>
        <v>12</v>
      </c>
      <c r="Q53" s="292">
        <f>SUM(P53/12)</f>
        <v>1</v>
      </c>
      <c r="R53" s="276">
        <f>SUM('ink eft pens, uttag 65,67'!E20)</f>
        <v>0</v>
      </c>
      <c r="S53" s="189">
        <f>SUM(R53*Q53)</f>
        <v>0</v>
      </c>
      <c r="T53">
        <v>1988</v>
      </c>
      <c r="U53" t="s">
        <v>276</v>
      </c>
      <c r="X53" s="456">
        <v>1981</v>
      </c>
      <c r="Y53" s="457" t="s">
        <v>273</v>
      </c>
      <c r="Z53" s="452">
        <f>IF(AB43="","",IF(YEAR(AA46)&gt;Z52,Z52+1,""))</f>
      </c>
      <c r="AA53" s="464">
        <f>SUM('ink eft 65,67, uppskjutet uttag'!B34)</f>
        <v>0</v>
      </c>
      <c r="AB53" s="465">
        <f>IF(AD53="","",IF(AND(AD53&gt;0,AD54=""),SUM(AA48/12),1))</f>
      </c>
      <c r="AC53" s="204">
        <f t="shared" si="20"/>
      </c>
      <c r="AD53" s="167">
        <f>IF(Z52="","",IF($AC$43&gt;=Z52+1,Z52+1,""))</f>
      </c>
      <c r="AE53" s="181" t="e">
        <f aca="true" t="shared" si="22" ref="AE53:AE60">IF($AH$47&gt;AE52,AE52+1,"")</f>
        <v>#N/A</v>
      </c>
      <c r="AF53" s="629" t="e">
        <f aca="true" t="shared" si="23" ref="AF53:AF60">IF(AE53="","",IF(AND(AE53&gt;0,AE54=""),SUM($AF$49/12),1))</f>
        <v>#N/A</v>
      </c>
      <c r="AG53" s="633">
        <f aca="true" t="shared" si="24" ref="AG53:AG60">IF($AG$42&gt;$AG$51,AG52+1,"")</f>
      </c>
      <c r="AH53" s="167"/>
      <c r="AI53" s="167"/>
      <c r="AJ53" s="167"/>
    </row>
    <row r="54" spans="1:36" ht="12.75">
      <c r="A54" s="69">
        <f>SUM(A28+1)</f>
        <v>1901</v>
      </c>
      <c r="B54" s="69">
        <f>COUNTIF(A28:A51,A28+1)</f>
        <v>12</v>
      </c>
      <c r="C54" s="69"/>
      <c r="D54" s="288">
        <f>SUM(B54)</f>
        <v>12</v>
      </c>
      <c r="E54" s="289">
        <f>SUM(B54/12)</f>
        <v>1</v>
      </c>
      <c r="F54" s="276">
        <f>SUM('ink eft pens, uttag 65,67'!E21)</f>
        <v>0</v>
      </c>
      <c r="G54" s="189">
        <f>SUM(E54*F54)</f>
        <v>0</v>
      </c>
      <c r="I54">
        <f>SUM(I53+1)</f>
        <v>1901</v>
      </c>
      <c r="J54" s="288">
        <v>12</v>
      </c>
      <c r="K54">
        <v>1</v>
      </c>
      <c r="L54" s="276">
        <f>SUM('ink eft pens, uttag 65,67'!E21)</f>
        <v>0</v>
      </c>
      <c r="M54" s="189">
        <f t="shared" si="21"/>
        <v>0</v>
      </c>
      <c r="O54" s="287">
        <f>IF(M43="","",M43)</f>
      </c>
      <c r="P54" s="293">
        <f>IF(N43="","",N43)</f>
      </c>
      <c r="Q54" s="294">
        <f>IF(M43="","",SUM(P54/12))</f>
      </c>
      <c r="R54" s="276">
        <f>SUM('ink eft pens, uttag 65,67'!E21)</f>
        <v>0</v>
      </c>
      <c r="S54" s="189" t="e">
        <f>SUM(R54*Q54)</f>
        <v>#VALUE!</v>
      </c>
      <c r="T54">
        <v>1989</v>
      </c>
      <c r="U54" t="s">
        <v>273</v>
      </c>
      <c r="X54" s="456">
        <v>1982</v>
      </c>
      <c r="Y54" s="457" t="s">
        <v>273</v>
      </c>
      <c r="Z54" s="452">
        <f>IF(AB43="","",IF(YEAR(AA46)&gt;Z53,Z53+1,""))</f>
      </c>
      <c r="AA54" s="464">
        <f>SUM('ink eft 65,67, uppskjutet uttag'!F32)</f>
        <v>0</v>
      </c>
      <c r="AB54" s="465">
        <f>IF(AD54="","",IF(AND(AD54&gt;0,AD55=""),SUM(AA48/12),1))</f>
      </c>
      <c r="AC54" s="204">
        <f t="shared" si="20"/>
      </c>
      <c r="AD54" s="167">
        <f>IF(Z53="","",IF($AC$43&gt;=Z53+1,Z53+1,""))</f>
      </c>
      <c r="AE54" s="181" t="e">
        <f t="shared" si="22"/>
        <v>#N/A</v>
      </c>
      <c r="AF54" s="629" t="e">
        <f t="shared" si="23"/>
        <v>#N/A</v>
      </c>
      <c r="AG54" s="633">
        <f t="shared" si="24"/>
      </c>
      <c r="AH54" s="167"/>
      <c r="AI54" s="167"/>
      <c r="AJ54" s="167"/>
    </row>
    <row r="55" spans="1:36" ht="13.5" thickBot="1">
      <c r="A55" s="295">
        <f>IF(B53&lt;12,A54+1,"")</f>
      </c>
      <c r="B55" s="69">
        <f>IF(A55="","",COUNTIF(A28:A51,A55))</f>
      </c>
      <c r="C55" s="69"/>
      <c r="D55" s="288">
        <f>IF(B55="","",SUM(B55))</f>
      </c>
      <c r="E55" s="289">
        <f>IF(B55="","",SUM(B55/12))</f>
      </c>
      <c r="F55" s="276">
        <f>SUM('ink eft pens, uttag 65,67'!E22)</f>
        <v>0</v>
      </c>
      <c r="G55" s="189">
        <f>IF(A55="",0,SUM(E55*F55))</f>
        <v>0</v>
      </c>
      <c r="I55">
        <f>SUM(I54+1)</f>
        <v>1902</v>
      </c>
      <c r="J55" s="288">
        <v>12</v>
      </c>
      <c r="K55">
        <v>1</v>
      </c>
      <c r="L55" s="276">
        <f>SUM('ink eft pens, uttag 65,67'!E22)</f>
        <v>0</v>
      </c>
      <c r="M55" s="189">
        <f t="shared" si="21"/>
        <v>0</v>
      </c>
      <c r="T55">
        <v>1990</v>
      </c>
      <c r="U55" t="s">
        <v>273</v>
      </c>
      <c r="X55" s="456">
        <v>1983</v>
      </c>
      <c r="Y55" s="457" t="s">
        <v>273</v>
      </c>
      <c r="Z55" s="452">
        <f>IF(AB43="","",IF(YEAR(AA46)&gt;Z54,Z54+1,""))</f>
      </c>
      <c r="AA55" s="464">
        <f>SUM('ink eft 65,67, uppskjutet uttag'!F33)</f>
        <v>0</v>
      </c>
      <c r="AB55" s="465">
        <f>IF(AD55="","",IF(AND(AD55&gt;0,AD56=""),SUM(AA48/12),1))</f>
      </c>
      <c r="AC55" s="204">
        <f t="shared" si="20"/>
      </c>
      <c r="AD55" s="167">
        <f>IF(Z54="","",IF($AC$43&gt;=Z54+1,Z54+1,""))</f>
      </c>
      <c r="AE55" s="181" t="e">
        <f t="shared" si="22"/>
        <v>#N/A</v>
      </c>
      <c r="AF55" s="629" t="e">
        <f t="shared" si="23"/>
        <v>#N/A</v>
      </c>
      <c r="AG55" s="633">
        <f t="shared" si="24"/>
      </c>
      <c r="AH55" s="167"/>
      <c r="AI55" s="167"/>
      <c r="AJ55" s="167"/>
    </row>
    <row r="56" spans="6:36" ht="12.75">
      <c r="F56" s="189"/>
      <c r="G56" s="189">
        <f>SUM(E56*F56)</f>
        <v>0</v>
      </c>
      <c r="I56">
        <f>SUM(I55+1)</f>
        <v>1903</v>
      </c>
      <c r="J56" s="288">
        <v>12</v>
      </c>
      <c r="K56">
        <v>1</v>
      </c>
      <c r="L56" s="276">
        <f>SUM('ink eft pens, uttag 65,67'!E23)</f>
        <v>0</v>
      </c>
      <c r="M56" s="189">
        <f t="shared" si="21"/>
        <v>0</v>
      </c>
      <c r="T56">
        <v>1991</v>
      </c>
      <c r="U56" t="s">
        <v>273</v>
      </c>
      <c r="X56" s="456">
        <v>1984</v>
      </c>
      <c r="Y56" s="457" t="s">
        <v>276</v>
      </c>
      <c r="Z56" s="452">
        <f>IF(AB43="","",IF(YEAR(AA46)&gt;Z55,Z55+1,""))</f>
      </c>
      <c r="AA56" s="464">
        <f>SUM('ink eft 65,67, uppskjutet uttag'!F34)</f>
        <v>0</v>
      </c>
      <c r="AB56" s="465">
        <f>IF(AD56="","",IF(AND(AD56&gt;0,AD57=""),SUM(AA48/12),1))</f>
      </c>
      <c r="AC56" s="204">
        <f t="shared" si="20"/>
      </c>
      <c r="AD56" s="167">
        <f>IF(Z55="","",IF($AC$43&gt;=Z55+1,Z55+1,""))</f>
      </c>
      <c r="AE56" s="181" t="e">
        <f t="shared" si="22"/>
        <v>#N/A</v>
      </c>
      <c r="AF56" s="629" t="e">
        <f t="shared" si="23"/>
        <v>#N/A</v>
      </c>
      <c r="AG56" s="633">
        <f t="shared" si="24"/>
      </c>
      <c r="AH56" s="167"/>
      <c r="AI56" s="167"/>
      <c r="AJ56" s="167"/>
    </row>
    <row r="57" spans="4:36" ht="12.75">
      <c r="D57" t="s">
        <v>300</v>
      </c>
      <c r="E57" s="296">
        <f>SUM(E53:E55)</f>
        <v>2</v>
      </c>
      <c r="I57">
        <f>SUM(I56+1)</f>
        <v>1904</v>
      </c>
      <c r="J57" s="288">
        <v>12</v>
      </c>
      <c r="K57">
        <f>IF(K39=12,1,12/12)</f>
        <v>1</v>
      </c>
      <c r="L57" s="276">
        <f>SUM('ink eft pens, uttag 65,67'!E24)</f>
        <v>0</v>
      </c>
      <c r="M57" s="189">
        <f t="shared" si="21"/>
        <v>0</v>
      </c>
      <c r="T57">
        <v>1992</v>
      </c>
      <c r="U57" t="s">
        <v>276</v>
      </c>
      <c r="X57" s="456">
        <v>1985</v>
      </c>
      <c r="Y57" s="457" t="s">
        <v>273</v>
      </c>
      <c r="Z57" s="167"/>
      <c r="AA57" s="167" t="s">
        <v>405</v>
      </c>
      <c r="AB57" s="466">
        <f>SUM(AB51:AB56)</f>
        <v>0</v>
      </c>
      <c r="AC57" s="204">
        <f>SUM(AC51:AC56)</f>
        <v>0</v>
      </c>
      <c r="AD57" s="167"/>
      <c r="AE57" s="181" t="e">
        <f t="shared" si="22"/>
        <v>#N/A</v>
      </c>
      <c r="AF57" s="629" t="e">
        <f t="shared" si="23"/>
        <v>#N/A</v>
      </c>
      <c r="AG57" s="633">
        <f t="shared" si="24"/>
      </c>
      <c r="AH57" s="167"/>
      <c r="AI57" s="167"/>
      <c r="AJ57" s="167"/>
    </row>
    <row r="58" spans="9:36" ht="12.75">
      <c r="I58">
        <f>IF(K39=12,"",SUM(I57+1))</f>
      </c>
      <c r="J58" s="288">
        <f>IF(I58="","",SUM(K41))</f>
      </c>
      <c r="K58" s="290">
        <f>IF(I58="","",SUM(K41/12))</f>
      </c>
      <c r="L58" s="276">
        <f>SUM('ink eft pens, uttag 65,67'!E28)</f>
        <v>0</v>
      </c>
      <c r="M58" s="189" t="e">
        <f t="shared" si="21"/>
        <v>#VALUE!</v>
      </c>
      <c r="T58">
        <v>1993</v>
      </c>
      <c r="U58" t="s">
        <v>273</v>
      </c>
      <c r="X58" s="456">
        <v>1986</v>
      </c>
      <c r="Y58" s="457" t="s">
        <v>273</v>
      </c>
      <c r="Z58" s="167"/>
      <c r="AA58" s="167"/>
      <c r="AB58" s="167"/>
      <c r="AC58" s="167"/>
      <c r="AD58" s="167"/>
      <c r="AE58" s="181" t="e">
        <f t="shared" si="22"/>
        <v>#N/A</v>
      </c>
      <c r="AF58" s="629" t="e">
        <f t="shared" si="23"/>
        <v>#N/A</v>
      </c>
      <c r="AG58" s="633">
        <f t="shared" si="24"/>
      </c>
      <c r="AH58" s="167"/>
      <c r="AI58" s="167"/>
      <c r="AJ58" s="167"/>
    </row>
    <row r="59" spans="6:36" ht="12.75">
      <c r="F59" t="s">
        <v>300</v>
      </c>
      <c r="G59" s="189">
        <f>SUM(G53:G58)</f>
        <v>0</v>
      </c>
      <c r="T59">
        <v>1994</v>
      </c>
      <c r="U59" t="s">
        <v>273</v>
      </c>
      <c r="X59" s="456">
        <v>1987</v>
      </c>
      <c r="Y59" s="457" t="s">
        <v>273</v>
      </c>
      <c r="Z59" s="167"/>
      <c r="AA59" s="167"/>
      <c r="AB59" s="167"/>
      <c r="AC59" s="167"/>
      <c r="AD59" s="167"/>
      <c r="AE59" s="181" t="e">
        <f t="shared" si="22"/>
        <v>#N/A</v>
      </c>
      <c r="AF59" s="629" t="e">
        <f t="shared" si="23"/>
        <v>#N/A</v>
      </c>
      <c r="AG59" s="633">
        <f t="shared" si="24"/>
      </c>
      <c r="AH59" s="167"/>
      <c r="AI59" s="167"/>
      <c r="AJ59" s="167"/>
    </row>
    <row r="60" spans="10:36" ht="12.75">
      <c r="J60" t="s">
        <v>300</v>
      </c>
      <c r="K60" s="296">
        <f>SUM(K53:K59)</f>
        <v>5</v>
      </c>
      <c r="T60">
        <v>1995</v>
      </c>
      <c r="U60" t="s">
        <v>273</v>
      </c>
      <c r="X60" s="456">
        <v>1988</v>
      </c>
      <c r="Y60" s="457" t="s">
        <v>276</v>
      </c>
      <c r="Z60" s="167"/>
      <c r="AA60" s="167"/>
      <c r="AB60" s="167"/>
      <c r="AC60" s="167"/>
      <c r="AD60" s="167"/>
      <c r="AE60" s="181" t="e">
        <f t="shared" si="22"/>
        <v>#N/A</v>
      </c>
      <c r="AF60" s="629" t="e">
        <f t="shared" si="23"/>
        <v>#N/A</v>
      </c>
      <c r="AG60" s="633">
        <f t="shared" si="24"/>
      </c>
      <c r="AH60" s="167"/>
      <c r="AI60" s="167"/>
      <c r="AJ60" s="167"/>
    </row>
    <row r="61" spans="20:33" ht="12.75">
      <c r="T61">
        <v>1996</v>
      </c>
      <c r="U61" t="s">
        <v>276</v>
      </c>
      <c r="X61" s="456">
        <v>1989</v>
      </c>
      <c r="Y61" s="457" t="s">
        <v>273</v>
      </c>
      <c r="Z61" s="167" t="s">
        <v>326</v>
      </c>
      <c r="AA61" s="167"/>
      <c r="AB61" s="167"/>
      <c r="AC61" s="167"/>
      <c r="AD61" s="167"/>
      <c r="AG61" s="628"/>
    </row>
    <row r="62" spans="12:30" ht="12.75">
      <c r="L62" t="s">
        <v>300</v>
      </c>
      <c r="M62" s="189" t="e">
        <f>SUM(M53:M61)</f>
        <v>#VALUE!</v>
      </c>
      <c r="T62">
        <v>1997</v>
      </c>
      <c r="U62" t="s">
        <v>273</v>
      </c>
      <c r="X62" s="456">
        <v>1990</v>
      </c>
      <c r="Y62" s="457" t="s">
        <v>273</v>
      </c>
      <c r="Z62" s="167">
        <v>65</v>
      </c>
      <c r="AA62" s="613">
        <f>SUM(V3+65)</f>
        <v>1965</v>
      </c>
      <c r="AB62" s="167"/>
      <c r="AC62" s="167"/>
      <c r="AD62" s="167"/>
    </row>
    <row r="63" spans="20:30" ht="12.75">
      <c r="T63">
        <v>1998</v>
      </c>
      <c r="U63" t="s">
        <v>273</v>
      </c>
      <c r="X63" s="456">
        <v>1991</v>
      </c>
      <c r="Y63" s="457" t="s">
        <v>273</v>
      </c>
      <c r="Z63" s="167">
        <v>66</v>
      </c>
      <c r="AA63" s="613">
        <f>SUM(AA62+1)</f>
        <v>1966</v>
      </c>
      <c r="AB63" s="167"/>
      <c r="AC63" s="167"/>
      <c r="AD63" s="167"/>
    </row>
    <row r="64" spans="20:30" ht="12.75">
      <c r="T64">
        <v>1999</v>
      </c>
      <c r="U64" t="s">
        <v>273</v>
      </c>
      <c r="X64" s="456">
        <v>1992</v>
      </c>
      <c r="Y64" s="457" t="s">
        <v>276</v>
      </c>
      <c r="Z64" s="167">
        <v>67</v>
      </c>
      <c r="AA64" s="613">
        <f>SUM(AA63+1)</f>
        <v>1967</v>
      </c>
      <c r="AB64" s="167"/>
      <c r="AC64" s="167"/>
      <c r="AD64" s="167"/>
    </row>
    <row r="65" spans="20:30" ht="12.75">
      <c r="T65">
        <v>2000</v>
      </c>
      <c r="U65" t="s">
        <v>276</v>
      </c>
      <c r="X65" s="456">
        <v>1993</v>
      </c>
      <c r="Y65" s="457" t="s">
        <v>273</v>
      </c>
      <c r="Z65" s="167">
        <v>68</v>
      </c>
      <c r="AA65" s="613">
        <f>SUM(AA64+1)</f>
        <v>1968</v>
      </c>
      <c r="AB65" s="167"/>
      <c r="AC65" s="167"/>
      <c r="AD65" s="167"/>
    </row>
    <row r="66" spans="20:30" ht="12.75">
      <c r="T66">
        <v>2001</v>
      </c>
      <c r="U66" t="s">
        <v>273</v>
      </c>
      <c r="X66" s="456">
        <v>1994</v>
      </c>
      <c r="Y66" s="457" t="s">
        <v>273</v>
      </c>
      <c r="Z66" s="167">
        <v>69</v>
      </c>
      <c r="AA66" s="613">
        <f>SUM(AA65+1)</f>
        <v>1969</v>
      </c>
      <c r="AB66" s="167"/>
      <c r="AC66" s="167"/>
      <c r="AD66" s="167"/>
    </row>
    <row r="67" spans="20:30" ht="12.75">
      <c r="T67">
        <v>2002</v>
      </c>
      <c r="U67" t="s">
        <v>273</v>
      </c>
      <c r="X67" s="456">
        <v>1995</v>
      </c>
      <c r="Y67" s="457" t="s">
        <v>273</v>
      </c>
      <c r="Z67" s="167">
        <v>70</v>
      </c>
      <c r="AA67" s="613">
        <f>SUM(AA66+1)</f>
        <v>1970</v>
      </c>
      <c r="AB67" s="167"/>
      <c r="AC67" s="167"/>
      <c r="AD67" s="167"/>
    </row>
    <row r="68" spans="20:30" ht="12.75">
      <c r="T68">
        <v>2003</v>
      </c>
      <c r="U68" t="s">
        <v>273</v>
      </c>
      <c r="X68" s="456">
        <v>1996</v>
      </c>
      <c r="Y68" s="457" t="s">
        <v>276</v>
      </c>
      <c r="Z68" s="167"/>
      <c r="AA68" s="167"/>
      <c r="AB68" s="167"/>
      <c r="AC68" s="167"/>
      <c r="AD68" s="167"/>
    </row>
    <row r="69" spans="20:30" ht="12.75">
      <c r="T69">
        <v>2004</v>
      </c>
      <c r="U69" t="s">
        <v>276</v>
      </c>
      <c r="X69" s="456">
        <v>1997</v>
      </c>
      <c r="Y69" s="457" t="s">
        <v>273</v>
      </c>
      <c r="Z69" s="167"/>
      <c r="AA69" s="167"/>
      <c r="AB69" s="167"/>
      <c r="AC69" s="167"/>
      <c r="AD69" s="167"/>
    </row>
    <row r="70" spans="20:30" ht="12.75">
      <c r="T70">
        <v>2005</v>
      </c>
      <c r="U70" t="s">
        <v>273</v>
      </c>
      <c r="X70" s="456">
        <v>1998</v>
      </c>
      <c r="Y70" s="457" t="s">
        <v>273</v>
      </c>
      <c r="Z70" s="167"/>
      <c r="AA70" s="167"/>
      <c r="AB70" s="167"/>
      <c r="AC70" s="167"/>
      <c r="AD70" s="167"/>
    </row>
    <row r="71" spans="20:30" ht="12.75">
      <c r="T71">
        <v>2006</v>
      </c>
      <c r="U71" t="s">
        <v>273</v>
      </c>
      <c r="X71" s="456">
        <v>1999</v>
      </c>
      <c r="Y71" s="457" t="s">
        <v>273</v>
      </c>
      <c r="Z71" s="167"/>
      <c r="AA71" s="167"/>
      <c r="AB71" s="167"/>
      <c r="AC71" s="167"/>
      <c r="AD71" s="167"/>
    </row>
    <row r="72" spans="20:30" ht="12.75">
      <c r="T72">
        <v>2007</v>
      </c>
      <c r="U72" t="s">
        <v>273</v>
      </c>
      <c r="X72" s="456">
        <v>2000</v>
      </c>
      <c r="Y72" s="457" t="s">
        <v>276</v>
      </c>
      <c r="Z72" s="167"/>
      <c r="AA72" s="167"/>
      <c r="AB72" s="167"/>
      <c r="AC72" s="167"/>
      <c r="AD72" s="167"/>
    </row>
    <row r="73" spans="20:30" ht="12.75">
      <c r="T73">
        <v>2008</v>
      </c>
      <c r="U73" t="s">
        <v>276</v>
      </c>
      <c r="X73" s="456">
        <v>2001</v>
      </c>
      <c r="Y73" s="457" t="s">
        <v>273</v>
      </c>
      <c r="Z73" s="167"/>
      <c r="AA73" s="167"/>
      <c r="AB73" s="167"/>
      <c r="AC73" s="167"/>
      <c r="AD73" s="167"/>
    </row>
    <row r="74" spans="20:30" ht="12.75">
      <c r="T74">
        <v>2009</v>
      </c>
      <c r="U74" t="s">
        <v>273</v>
      </c>
      <c r="X74" s="456">
        <v>2002</v>
      </c>
      <c r="Y74" s="457" t="s">
        <v>273</v>
      </c>
      <c r="Z74" s="167"/>
      <c r="AA74" s="167"/>
      <c r="AB74" s="167"/>
      <c r="AC74" s="167"/>
      <c r="AD74" s="167"/>
    </row>
    <row r="75" spans="20:30" ht="12.75">
      <c r="T75">
        <v>2010</v>
      </c>
      <c r="U75" t="s">
        <v>273</v>
      </c>
      <c r="X75" s="456">
        <v>2003</v>
      </c>
      <c r="Y75" s="457" t="s">
        <v>273</v>
      </c>
      <c r="Z75" s="167"/>
      <c r="AA75" s="167"/>
      <c r="AB75" s="167"/>
      <c r="AC75" s="167"/>
      <c r="AD75" s="167"/>
    </row>
    <row r="76" spans="20:30" ht="12.75">
      <c r="T76">
        <v>2011</v>
      </c>
      <c r="U76" t="s">
        <v>273</v>
      </c>
      <c r="X76" s="456">
        <v>2004</v>
      </c>
      <c r="Y76" s="457" t="s">
        <v>276</v>
      </c>
      <c r="Z76" s="167"/>
      <c r="AA76" s="167"/>
      <c r="AB76" s="167"/>
      <c r="AC76" s="167"/>
      <c r="AD76" s="167"/>
    </row>
    <row r="77" spans="20:30" ht="12.75">
      <c r="T77">
        <v>2012</v>
      </c>
      <c r="U77" t="s">
        <v>276</v>
      </c>
      <c r="X77" s="456">
        <v>2005</v>
      </c>
      <c r="Y77" s="457" t="s">
        <v>273</v>
      </c>
      <c r="Z77" s="167"/>
      <c r="AA77" s="167"/>
      <c r="AB77" s="167"/>
      <c r="AC77" s="167"/>
      <c r="AD77" s="167"/>
    </row>
    <row r="78" spans="20:30" ht="12.75">
      <c r="T78">
        <v>2013</v>
      </c>
      <c r="U78" t="s">
        <v>273</v>
      </c>
      <c r="X78" s="456">
        <v>2006</v>
      </c>
      <c r="Y78" s="457" t="s">
        <v>273</v>
      </c>
      <c r="Z78" s="167"/>
      <c r="AA78" s="167"/>
      <c r="AB78" s="167"/>
      <c r="AC78" s="167"/>
      <c r="AD78" s="167"/>
    </row>
    <row r="79" spans="20:30" ht="12.75">
      <c r="T79">
        <v>2014</v>
      </c>
      <c r="U79" t="s">
        <v>273</v>
      </c>
      <c r="X79" s="456">
        <v>2007</v>
      </c>
      <c r="Y79" s="457" t="s">
        <v>273</v>
      </c>
      <c r="Z79" s="167"/>
      <c r="AA79" s="167"/>
      <c r="AB79" s="167"/>
      <c r="AC79" s="167"/>
      <c r="AD79" s="167"/>
    </row>
    <row r="80" spans="20:30" ht="12.75">
      <c r="T80">
        <v>2015</v>
      </c>
      <c r="U80" t="s">
        <v>273</v>
      </c>
      <c r="X80" s="456">
        <v>2008</v>
      </c>
      <c r="Y80" s="457" t="s">
        <v>276</v>
      </c>
      <c r="Z80" s="167"/>
      <c r="AA80" s="167"/>
      <c r="AB80" s="167"/>
      <c r="AC80" s="167"/>
      <c r="AD80" s="167"/>
    </row>
    <row r="81" spans="20:30" ht="12.75">
      <c r="T81">
        <v>2016</v>
      </c>
      <c r="U81" t="s">
        <v>276</v>
      </c>
      <c r="X81" s="456">
        <v>2009</v>
      </c>
      <c r="Y81" s="457" t="s">
        <v>273</v>
      </c>
      <c r="Z81" s="167"/>
      <c r="AA81" s="167"/>
      <c r="AB81" s="167"/>
      <c r="AC81" s="167"/>
      <c r="AD81" s="167"/>
    </row>
    <row r="82" spans="20:30" ht="12.75">
      <c r="T82">
        <v>2017</v>
      </c>
      <c r="U82" t="s">
        <v>273</v>
      </c>
      <c r="X82" s="456">
        <v>2010</v>
      </c>
      <c r="Y82" s="457" t="s">
        <v>273</v>
      </c>
      <c r="Z82" s="167"/>
      <c r="AA82" s="167"/>
      <c r="AB82" s="167"/>
      <c r="AC82" s="167"/>
      <c r="AD82" s="167"/>
    </row>
    <row r="83" spans="20:30" ht="12.75">
      <c r="T83">
        <v>2018</v>
      </c>
      <c r="U83" t="s">
        <v>273</v>
      </c>
      <c r="X83" s="456">
        <v>2011</v>
      </c>
      <c r="Y83" s="457" t="s">
        <v>273</v>
      </c>
      <c r="Z83" s="167"/>
      <c r="AA83" s="167"/>
      <c r="AB83" s="167"/>
      <c r="AC83" s="167"/>
      <c r="AD83" s="167"/>
    </row>
    <row r="84" spans="20:30" ht="12.75">
      <c r="T84">
        <v>2019</v>
      </c>
      <c r="U84" t="s">
        <v>273</v>
      </c>
      <c r="X84" s="456">
        <v>2012</v>
      </c>
      <c r="Y84" s="457" t="s">
        <v>276</v>
      </c>
      <c r="Z84" s="167"/>
      <c r="AA84" s="167"/>
      <c r="AB84" s="167"/>
      <c r="AC84" s="167"/>
      <c r="AD84" s="167"/>
    </row>
    <row r="85" spans="20:30" ht="12.75">
      <c r="T85">
        <v>2020</v>
      </c>
      <c r="U85" t="s">
        <v>276</v>
      </c>
      <c r="X85" s="456">
        <v>2013</v>
      </c>
      <c r="Y85" s="457" t="s">
        <v>273</v>
      </c>
      <c r="Z85" s="167"/>
      <c r="AA85" s="167"/>
      <c r="AB85" s="167"/>
      <c r="AC85" s="167"/>
      <c r="AD85" s="167"/>
    </row>
    <row r="86" spans="20:30" ht="12.75">
      <c r="T86">
        <v>2021</v>
      </c>
      <c r="U86" t="s">
        <v>273</v>
      </c>
      <c r="X86" s="456">
        <v>2014</v>
      </c>
      <c r="Y86" s="457" t="s">
        <v>273</v>
      </c>
      <c r="Z86" s="167"/>
      <c r="AA86" s="167"/>
      <c r="AB86" s="167"/>
      <c r="AC86" s="167"/>
      <c r="AD86" s="167"/>
    </row>
    <row r="87" spans="20:30" ht="12.75">
      <c r="T87">
        <v>2022</v>
      </c>
      <c r="U87" t="s">
        <v>273</v>
      </c>
      <c r="X87" s="456">
        <v>2015</v>
      </c>
      <c r="Y87" s="457" t="s">
        <v>273</v>
      </c>
      <c r="Z87" s="167"/>
      <c r="AA87" s="167"/>
      <c r="AB87" s="167"/>
      <c r="AC87" s="167"/>
      <c r="AD87" s="167"/>
    </row>
    <row r="88" spans="20:30" ht="12.75">
      <c r="T88">
        <v>2023</v>
      </c>
      <c r="U88" t="s">
        <v>273</v>
      </c>
      <c r="X88" s="456">
        <v>2016</v>
      </c>
      <c r="Y88" s="457" t="s">
        <v>276</v>
      </c>
      <c r="Z88" s="167"/>
      <c r="AA88" s="167"/>
      <c r="AB88" s="167"/>
      <c r="AC88" s="167"/>
      <c r="AD88" s="167"/>
    </row>
    <row r="89" spans="20:30" ht="12.75">
      <c r="T89">
        <v>2024</v>
      </c>
      <c r="U89" t="s">
        <v>276</v>
      </c>
      <c r="X89" s="456">
        <v>2017</v>
      </c>
      <c r="Y89" s="457" t="s">
        <v>273</v>
      </c>
      <c r="Z89" s="167"/>
      <c r="AA89" s="167"/>
      <c r="AB89" s="167"/>
      <c r="AC89" s="167"/>
      <c r="AD89" s="167"/>
    </row>
    <row r="90" spans="20:30" ht="12.75">
      <c r="T90">
        <v>2025</v>
      </c>
      <c r="U90" t="s">
        <v>273</v>
      </c>
      <c r="X90" s="456">
        <v>2018</v>
      </c>
      <c r="Y90" s="457" t="s">
        <v>273</v>
      </c>
      <c r="Z90" s="167"/>
      <c r="AA90" s="167"/>
      <c r="AB90" s="167"/>
      <c r="AC90" s="167"/>
      <c r="AD90" s="167"/>
    </row>
    <row r="91" spans="20:30" ht="12.75">
      <c r="T91">
        <v>2026</v>
      </c>
      <c r="U91" t="s">
        <v>273</v>
      </c>
      <c r="X91" s="456">
        <v>2019</v>
      </c>
      <c r="Y91" s="457" t="s">
        <v>273</v>
      </c>
      <c r="Z91" s="167"/>
      <c r="AA91" s="167"/>
      <c r="AB91" s="167"/>
      <c r="AC91" s="167"/>
      <c r="AD91" s="167"/>
    </row>
    <row r="92" spans="20:30" ht="12.75">
      <c r="T92">
        <v>2027</v>
      </c>
      <c r="U92" t="s">
        <v>273</v>
      </c>
      <c r="X92" s="456">
        <v>2020</v>
      </c>
      <c r="Y92" s="457" t="s">
        <v>276</v>
      </c>
      <c r="Z92" s="167"/>
      <c r="AA92" s="167"/>
      <c r="AB92" s="167"/>
      <c r="AC92" s="167"/>
      <c r="AD92" s="167"/>
    </row>
    <row r="93" spans="20:30" ht="12.75">
      <c r="T93">
        <v>2028</v>
      </c>
      <c r="U93" t="s">
        <v>276</v>
      </c>
      <c r="X93" s="456">
        <v>2021</v>
      </c>
      <c r="Y93" s="457" t="s">
        <v>273</v>
      </c>
      <c r="Z93" s="167"/>
      <c r="AA93" s="167"/>
      <c r="AB93" s="167"/>
      <c r="AC93" s="167"/>
      <c r="AD93" s="167"/>
    </row>
    <row r="94" spans="20:30" ht="12.75">
      <c r="T94">
        <v>2029</v>
      </c>
      <c r="U94" t="s">
        <v>273</v>
      </c>
      <c r="X94" s="456">
        <v>2022</v>
      </c>
      <c r="Y94" s="457" t="s">
        <v>273</v>
      </c>
      <c r="Z94" s="167"/>
      <c r="AA94" s="167"/>
      <c r="AB94" s="167"/>
      <c r="AC94" s="167"/>
      <c r="AD94" s="167"/>
    </row>
    <row r="95" spans="20:30" ht="12.75">
      <c r="T95">
        <v>2030</v>
      </c>
      <c r="U95" t="s">
        <v>273</v>
      </c>
      <c r="X95" s="456">
        <v>2023</v>
      </c>
      <c r="Y95" s="457" t="s">
        <v>273</v>
      </c>
      <c r="Z95" s="167"/>
      <c r="AA95" s="167"/>
      <c r="AB95" s="167"/>
      <c r="AC95" s="167"/>
      <c r="AD95" s="167"/>
    </row>
    <row r="96" spans="20:30" ht="12.75">
      <c r="T96">
        <v>2031</v>
      </c>
      <c r="U96" t="s">
        <v>273</v>
      </c>
      <c r="X96" s="456">
        <v>2024</v>
      </c>
      <c r="Y96" s="457" t="s">
        <v>276</v>
      </c>
      <c r="Z96" s="167"/>
      <c r="AA96" s="167"/>
      <c r="AB96" s="167"/>
      <c r="AC96" s="167"/>
      <c r="AD96" s="167"/>
    </row>
    <row r="97" spans="20:30" ht="12.75">
      <c r="T97">
        <v>2032</v>
      </c>
      <c r="U97" t="s">
        <v>276</v>
      </c>
      <c r="X97" s="456">
        <v>2025</v>
      </c>
      <c r="Y97" s="457" t="s">
        <v>273</v>
      </c>
      <c r="Z97" s="167"/>
      <c r="AA97" s="167"/>
      <c r="AB97" s="167"/>
      <c r="AC97" s="167"/>
      <c r="AD97" s="167"/>
    </row>
    <row r="98" spans="20:30" ht="12.75">
      <c r="T98">
        <v>2033</v>
      </c>
      <c r="U98" t="s">
        <v>273</v>
      </c>
      <c r="X98" s="456">
        <v>2026</v>
      </c>
      <c r="Y98" s="457" t="s">
        <v>273</v>
      </c>
      <c r="Z98" s="167"/>
      <c r="AA98" s="167"/>
      <c r="AB98" s="167"/>
      <c r="AC98" s="167"/>
      <c r="AD98" s="167"/>
    </row>
    <row r="99" spans="20:30" ht="12.75">
      <c r="T99">
        <v>2034</v>
      </c>
      <c r="U99" t="s">
        <v>273</v>
      </c>
      <c r="X99" s="456">
        <v>2027</v>
      </c>
      <c r="Y99" s="457" t="s">
        <v>273</v>
      </c>
      <c r="Z99" s="167"/>
      <c r="AA99" s="167"/>
      <c r="AB99" s="167"/>
      <c r="AC99" s="167"/>
      <c r="AD99" s="167"/>
    </row>
    <row r="100" spans="20:30" ht="12.75">
      <c r="T100">
        <v>2035</v>
      </c>
      <c r="U100" t="s">
        <v>273</v>
      </c>
      <c r="X100" s="456">
        <v>2028</v>
      </c>
      <c r="Y100" s="457" t="s">
        <v>276</v>
      </c>
      <c r="Z100" s="167"/>
      <c r="AA100" s="167"/>
      <c r="AB100" s="167"/>
      <c r="AC100" s="167"/>
      <c r="AD100" s="167"/>
    </row>
    <row r="101" spans="20:30" ht="12.75">
      <c r="T101">
        <v>2036</v>
      </c>
      <c r="U101" t="s">
        <v>276</v>
      </c>
      <c r="X101" s="456">
        <v>2029</v>
      </c>
      <c r="Y101" s="457" t="s">
        <v>273</v>
      </c>
      <c r="Z101" s="167"/>
      <c r="AA101" s="167"/>
      <c r="AB101" s="167"/>
      <c r="AC101" s="167"/>
      <c r="AD101" s="167"/>
    </row>
    <row r="102" spans="20:30" ht="12.75">
      <c r="T102">
        <v>2037</v>
      </c>
      <c r="U102" t="s">
        <v>273</v>
      </c>
      <c r="X102" s="456">
        <v>2030</v>
      </c>
      <c r="Y102" s="457" t="s">
        <v>273</v>
      </c>
      <c r="Z102" s="167"/>
      <c r="AA102" s="167"/>
      <c r="AB102" s="167"/>
      <c r="AC102" s="167"/>
      <c r="AD102" s="167"/>
    </row>
    <row r="103" spans="20:30" ht="12.75">
      <c r="T103">
        <v>2038</v>
      </c>
      <c r="U103" t="s">
        <v>273</v>
      </c>
      <c r="X103" s="456">
        <v>2031</v>
      </c>
      <c r="Y103" s="457" t="s">
        <v>273</v>
      </c>
      <c r="Z103" s="167"/>
      <c r="AA103" s="167"/>
      <c r="AB103" s="167"/>
      <c r="AC103" s="167"/>
      <c r="AD103" s="167"/>
    </row>
    <row r="104" spans="20:30" ht="12.75">
      <c r="T104">
        <v>2039</v>
      </c>
      <c r="U104" t="s">
        <v>273</v>
      </c>
      <c r="X104" s="456">
        <v>2032</v>
      </c>
      <c r="Y104" s="457" t="s">
        <v>276</v>
      </c>
      <c r="Z104" s="167"/>
      <c r="AA104" s="167"/>
      <c r="AB104" s="167"/>
      <c r="AC104" s="167"/>
      <c r="AD104" s="167"/>
    </row>
    <row r="105" spans="20:30" ht="12.75">
      <c r="T105">
        <v>2040</v>
      </c>
      <c r="U105" t="s">
        <v>276</v>
      </c>
      <c r="X105" s="456">
        <v>2033</v>
      </c>
      <c r="Y105" s="457" t="s">
        <v>273</v>
      </c>
      <c r="Z105" s="167"/>
      <c r="AA105" s="167"/>
      <c r="AB105" s="167"/>
      <c r="AC105" s="167"/>
      <c r="AD105" s="167"/>
    </row>
    <row r="106" spans="20:30" ht="12.75">
      <c r="T106">
        <v>2041</v>
      </c>
      <c r="U106" t="s">
        <v>273</v>
      </c>
      <c r="X106" s="456">
        <v>2034</v>
      </c>
      <c r="Y106" s="457" t="s">
        <v>273</v>
      </c>
      <c r="Z106" s="167"/>
      <c r="AA106" s="167"/>
      <c r="AB106" s="167"/>
      <c r="AC106" s="167"/>
      <c r="AD106" s="167"/>
    </row>
    <row r="107" spans="20:30" ht="12.75">
      <c r="T107">
        <v>2042</v>
      </c>
      <c r="U107" t="s">
        <v>273</v>
      </c>
      <c r="X107" s="456">
        <v>2035</v>
      </c>
      <c r="Y107" s="457" t="s">
        <v>273</v>
      </c>
      <c r="Z107" s="167"/>
      <c r="AA107" s="167"/>
      <c r="AB107" s="167"/>
      <c r="AC107" s="167"/>
      <c r="AD107" s="167"/>
    </row>
    <row r="108" spans="20:30" ht="12.75">
      <c r="T108">
        <v>2043</v>
      </c>
      <c r="U108" t="s">
        <v>273</v>
      </c>
      <c r="X108" s="467">
        <v>2036</v>
      </c>
      <c r="Y108" s="468" t="s">
        <v>276</v>
      </c>
      <c r="Z108" s="167"/>
      <c r="AA108" s="167"/>
      <c r="AB108" s="167"/>
      <c r="AC108" s="167"/>
      <c r="AD108" s="167"/>
    </row>
    <row r="109" spans="20:21" ht="12.75">
      <c r="T109">
        <v>2044</v>
      </c>
      <c r="U109" t="s">
        <v>276</v>
      </c>
    </row>
    <row r="110" spans="20:21" ht="12.75">
      <c r="T110">
        <v>2045</v>
      </c>
      <c r="U110" t="s">
        <v>273</v>
      </c>
    </row>
    <row r="111" spans="20:21" ht="12.75">
      <c r="T111">
        <v>2046</v>
      </c>
      <c r="U111" t="s">
        <v>273</v>
      </c>
    </row>
    <row r="112" spans="20:21" ht="12.75">
      <c r="T112">
        <v>2047</v>
      </c>
      <c r="U112" t="s">
        <v>273</v>
      </c>
    </row>
    <row r="113" spans="20:21" ht="12.75">
      <c r="T113">
        <v>2048</v>
      </c>
      <c r="U113" t="s">
        <v>276</v>
      </c>
    </row>
    <row r="114" spans="20:21" ht="12.75">
      <c r="T114">
        <v>2049</v>
      </c>
      <c r="U114" t="s">
        <v>273</v>
      </c>
    </row>
    <row r="115" spans="20:21" ht="12.75">
      <c r="T115">
        <v>2050</v>
      </c>
      <c r="U115" t="s">
        <v>273</v>
      </c>
    </row>
    <row r="116" spans="20:21" ht="12.75">
      <c r="T116">
        <v>2051</v>
      </c>
      <c r="U116" t="s">
        <v>273</v>
      </c>
    </row>
    <row r="117" spans="20:21" ht="12.75">
      <c r="T117">
        <v>2052</v>
      </c>
      <c r="U117" t="s">
        <v>276</v>
      </c>
    </row>
    <row r="118" spans="20:21" ht="12.75">
      <c r="T118">
        <v>2053</v>
      </c>
      <c r="U118" t="s">
        <v>273</v>
      </c>
    </row>
    <row r="119" spans="20:21" ht="12.75">
      <c r="T119">
        <v>2054</v>
      </c>
      <c r="U119" t="s">
        <v>273</v>
      </c>
    </row>
    <row r="120" spans="20:21" ht="12.75">
      <c r="T120">
        <v>2055</v>
      </c>
      <c r="U120" t="s">
        <v>273</v>
      </c>
    </row>
    <row r="121" spans="20:21" ht="12.75">
      <c r="T121">
        <v>2056</v>
      </c>
      <c r="U121" t="s">
        <v>276</v>
      </c>
    </row>
    <row r="122" spans="20:21" ht="12.75">
      <c r="T122">
        <v>2057</v>
      </c>
      <c r="U122" t="s">
        <v>273</v>
      </c>
    </row>
    <row r="123" spans="20:21" ht="12.75">
      <c r="T123">
        <v>2058</v>
      </c>
      <c r="U123" t="s">
        <v>273</v>
      </c>
    </row>
    <row r="124" spans="20:21" ht="12.75">
      <c r="T124">
        <v>2059</v>
      </c>
      <c r="U124" t="s">
        <v>273</v>
      </c>
    </row>
    <row r="125" spans="20:21" ht="12.75">
      <c r="T125">
        <v>2060</v>
      </c>
      <c r="U125" t="s">
        <v>276</v>
      </c>
    </row>
    <row r="126" spans="20:21" ht="12.75">
      <c r="T126">
        <v>2061</v>
      </c>
      <c r="U126" t="s">
        <v>273</v>
      </c>
    </row>
    <row r="127" spans="20:21" ht="12.75">
      <c r="T127">
        <v>2062</v>
      </c>
      <c r="U127" t="s">
        <v>273</v>
      </c>
    </row>
    <row r="128" spans="20:21" ht="12.75">
      <c r="T128">
        <v>2063</v>
      </c>
      <c r="U128" t="s">
        <v>273</v>
      </c>
    </row>
    <row r="129" spans="20:21" ht="12.75">
      <c r="T129">
        <v>2064</v>
      </c>
      <c r="U129" t="s">
        <v>276</v>
      </c>
    </row>
    <row r="130" spans="20:21" ht="12.75">
      <c r="T130">
        <v>2065</v>
      </c>
      <c r="U130" t="s">
        <v>273</v>
      </c>
    </row>
    <row r="131" spans="20:21" ht="12.75">
      <c r="T131">
        <v>2066</v>
      </c>
      <c r="U131" t="s">
        <v>273</v>
      </c>
    </row>
    <row r="132" spans="20:21" ht="12.75">
      <c r="T132">
        <v>2067</v>
      </c>
      <c r="U132" t="s">
        <v>273</v>
      </c>
    </row>
    <row r="133" spans="20:21" ht="12.75">
      <c r="T133">
        <v>2068</v>
      </c>
      <c r="U133" t="s">
        <v>276</v>
      </c>
    </row>
    <row r="134" spans="20:21" ht="12.75">
      <c r="T134">
        <v>2069</v>
      </c>
      <c r="U134" t="s">
        <v>273</v>
      </c>
    </row>
    <row r="135" spans="20:21" ht="12.75">
      <c r="T135">
        <v>2070</v>
      </c>
      <c r="U135" t="s">
        <v>273</v>
      </c>
    </row>
    <row r="136" spans="20:21" ht="12.75">
      <c r="T136">
        <v>2071</v>
      </c>
      <c r="U136" t="s">
        <v>273</v>
      </c>
    </row>
    <row r="137" spans="20:21" ht="12.75">
      <c r="T137">
        <v>2072</v>
      </c>
      <c r="U137" t="s">
        <v>276</v>
      </c>
    </row>
    <row r="138" spans="20:21" ht="12.75">
      <c r="T138">
        <v>2073</v>
      </c>
      <c r="U138" t="s">
        <v>273</v>
      </c>
    </row>
    <row r="139" spans="20:21" ht="12.75">
      <c r="T139">
        <v>2074</v>
      </c>
      <c r="U139" t="s">
        <v>273</v>
      </c>
    </row>
    <row r="140" spans="20:21" ht="12.75">
      <c r="T140">
        <v>2075</v>
      </c>
      <c r="U140" t="s">
        <v>273</v>
      </c>
    </row>
    <row r="141" spans="20:21" ht="12.75">
      <c r="T141">
        <v>2076</v>
      </c>
      <c r="U141" t="s">
        <v>276</v>
      </c>
    </row>
    <row r="142" spans="20:21" ht="12.75">
      <c r="T142">
        <v>2077</v>
      </c>
      <c r="U142" t="s">
        <v>273</v>
      </c>
    </row>
    <row r="143" spans="20:21" ht="12.75">
      <c r="T143">
        <v>2078</v>
      </c>
      <c r="U143" t="s">
        <v>273</v>
      </c>
    </row>
    <row r="144" spans="20:21" ht="12.75">
      <c r="T144">
        <v>2079</v>
      </c>
      <c r="U144" t="s">
        <v>273</v>
      </c>
    </row>
    <row r="145" spans="20:21" ht="12.75">
      <c r="T145">
        <v>2080</v>
      </c>
      <c r="U145" t="s">
        <v>276</v>
      </c>
    </row>
    <row r="146" spans="20:21" ht="12.75">
      <c r="T146">
        <v>2081</v>
      </c>
      <c r="U146" t="s">
        <v>273</v>
      </c>
    </row>
    <row r="147" spans="20:21" ht="12.75">
      <c r="T147">
        <v>2082</v>
      </c>
      <c r="U147" t="s">
        <v>273</v>
      </c>
    </row>
    <row r="148" spans="20:21" ht="12.75">
      <c r="T148">
        <v>2083</v>
      </c>
      <c r="U148" t="s">
        <v>273</v>
      </c>
    </row>
    <row r="149" spans="20:21" ht="12.75">
      <c r="T149">
        <v>2084</v>
      </c>
      <c r="U149" t="s">
        <v>276</v>
      </c>
    </row>
    <row r="150" spans="20:21" ht="12.75">
      <c r="T150">
        <v>2085</v>
      </c>
      <c r="U150" t="s">
        <v>273</v>
      </c>
    </row>
    <row r="151" spans="20:21" ht="12.75">
      <c r="T151">
        <v>2086</v>
      </c>
      <c r="U151" t="s">
        <v>273</v>
      </c>
    </row>
    <row r="152" spans="20:21" ht="12.75">
      <c r="T152">
        <v>2087</v>
      </c>
      <c r="U152" t="s">
        <v>273</v>
      </c>
    </row>
    <row r="153" spans="20:21" ht="12.75">
      <c r="T153">
        <v>2088</v>
      </c>
      <c r="U153" t="s">
        <v>276</v>
      </c>
    </row>
    <row r="154" spans="20:21" ht="12.75">
      <c r="T154">
        <v>2089</v>
      </c>
      <c r="U154" t="s">
        <v>273</v>
      </c>
    </row>
    <row r="155" spans="20:21" ht="12.75">
      <c r="T155">
        <v>2090</v>
      </c>
      <c r="U155" t="s">
        <v>273</v>
      </c>
    </row>
  </sheetData>
  <sheetProtection password="C248" sheet="1"/>
  <mergeCells count="1">
    <mergeCell ref="AE45:AF4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Beräkning av pensionsförlust vid livsvarig inkomstförlust</dc:title>
  <dc:subject/>
  <dc:creator>Trafikskadenämnden 2004</dc:creator>
  <cp:keywords/>
  <dc:description>Gäller för födda år 1954 och senare</dc:description>
  <cp:lastModifiedBy>Bexar, Pia</cp:lastModifiedBy>
  <cp:lastPrinted>2024-02-20T11:34:48Z</cp:lastPrinted>
  <dcterms:created xsi:type="dcterms:W3CDTF">2003-11-09T12:21:22Z</dcterms:created>
  <dcterms:modified xsi:type="dcterms:W3CDTF">2024-02-23T06:37:09Z</dcterms:modified>
  <cp:category/>
  <cp:version/>
  <cp:contentType/>
  <cp:contentStatus/>
</cp:coreProperties>
</file>