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845" activeTab="0"/>
  </bookViews>
  <sheets>
    <sheet name="Tjänste p-förlust" sheetId="1" r:id="rId1"/>
    <sheet name="1 SAF-LO" sheetId="2" r:id="rId2"/>
    <sheet name="2 KAP-KL AKAP-KL AKAP-KR" sheetId="3" r:id="rId3"/>
    <sheet name="3 PA16,PA03(SPV),KP" sheetId="4" r:id="rId4"/>
    <sheet name="4 ITP1 födda 1979 o senare" sheetId="5" r:id="rId5"/>
    <sheet name="5 ITP 2 födda 1978 o tidigare" sheetId="6" r:id="rId6"/>
    <sheet name=" 6 utan tjänstepens" sheetId="7" r:id="rId7"/>
    <sheet name="7 partiell tj pens" sheetId="8" r:id="rId8"/>
    <sheet name="Basbelopp" sheetId="9" r:id="rId9"/>
    <sheet name="Blad1" sheetId="10" state="hidden" r:id="rId10"/>
  </sheets>
  <definedNames/>
  <calcPr fullCalcOnLoad="1"/>
</workbook>
</file>

<file path=xl/comments2.xml><?xml version="1.0" encoding="utf-8"?>
<comments xmlns="http://schemas.openxmlformats.org/spreadsheetml/2006/main">
  <authors>
    <author>Calle</author>
  </authors>
  <commentList>
    <comment ref="E39" authorId="0">
      <text>
        <r>
          <rPr>
            <b/>
            <sz val="9"/>
            <rFont val="Tahoma"/>
            <family val="0"/>
          </rPr>
          <t>Omräknade belopp</t>
        </r>
      </text>
    </comment>
    <comment ref="F10" authorId="0">
      <text>
        <r>
          <rPr>
            <sz val="9"/>
            <rFont val="Tahoma"/>
            <family val="2"/>
          </rPr>
          <t>lägg in samma första år som i ink.förlustberäkningen</t>
        </r>
      </text>
    </comment>
    <comment ref="F11" authorId="0">
      <text>
        <r>
          <rPr>
            <sz val="9"/>
            <rFont val="Tahoma"/>
            <family val="2"/>
          </rPr>
          <t>lägg in samma fastställelseår som fastställelseåret i förlustberäkningen</t>
        </r>
      </text>
    </comment>
    <comment ref="F13" authorId="0">
      <text>
        <r>
          <rPr>
            <sz val="9"/>
            <rFont val="Tahoma"/>
            <family val="2"/>
          </rPr>
          <t>Räknaren räknar automatiskt antal år fr.o.m.första år med ink.förlust fram till 65 år</t>
        </r>
      </text>
    </comment>
    <comment ref="F16" authorId="0">
      <text>
        <r>
          <rPr>
            <sz val="9"/>
            <rFont val="Tahoma"/>
            <family val="2"/>
          </rPr>
          <t>lägg in den pensionsmedförande lönen vid sjukersättning eller vid LAF</t>
        </r>
      </text>
    </comment>
    <comment ref="F17" authorId="0">
      <text>
        <r>
          <rPr>
            <sz val="9"/>
            <rFont val="Tahoma"/>
            <family val="2"/>
          </rPr>
          <t>ange grad av arbetsoförmåga enligt AFAs svar</t>
        </r>
      </text>
    </comment>
    <comment ref="F14" authorId="0">
      <text>
        <r>
          <rPr>
            <sz val="9"/>
            <rFont val="Tahoma"/>
            <family val="2"/>
          </rPr>
          <t>lägg in den senaste genomsnittliga årsinkomsten.
Pensionsmedförande lön - se sid 53 i anvisningarna</t>
        </r>
      </text>
    </comment>
    <comment ref="F19" authorId="0">
      <text>
        <r>
          <rPr>
            <sz val="9"/>
            <rFont val="Tahoma"/>
            <family val="2"/>
          </rPr>
          <t>lägg in den senaste årliga inkomsten som skadad</t>
        </r>
      </text>
    </comment>
    <comment ref="D21" authorId="0">
      <text>
        <r>
          <rPr>
            <sz val="9"/>
            <rFont val="Tahoma"/>
            <family val="2"/>
          </rPr>
          <t>om den skadade skulle ha haft högre premieavsättning än 4,5% - lägg in året för den högre avsättningen.</t>
        </r>
      </text>
    </comment>
    <comment ref="D20" authorId="0">
      <text>
        <r>
          <rPr>
            <sz val="9"/>
            <rFont val="Tahoma"/>
            <family val="2"/>
          </rPr>
          <t>räknaren räknar genomgående med 4,5% på ink. &lt;7,5 ibb och 30% på &gt;7,5 ibb</t>
        </r>
      </text>
    </comment>
    <comment ref="D22" authorId="0">
      <text>
        <r>
          <rPr>
            <sz val="9"/>
            <rFont val="Tahoma"/>
            <family val="2"/>
          </rPr>
          <t>om den skadade skulle ha haft högre premieavsättning än 4,5% - lägg in rätt procentsats.</t>
        </r>
      </text>
    </comment>
    <comment ref="D26" authorId="0">
      <text>
        <r>
          <rPr>
            <sz val="9"/>
            <rFont val="Tahoma"/>
            <family val="2"/>
          </rPr>
          <t>Om den skadade skulle ha haft högre premieavsättning som oskadad, kontrollera AFA,s svar ang vilken pensionsavgift  som betalas in till premiebefrielsförsäkringen, om denna är högre än 4,5% lägg in året för den högre avsättningen och rätt procentsats</t>
        </r>
      </text>
    </comment>
    <comment ref="D32" authorId="0">
      <text>
        <r>
          <rPr>
            <sz val="9"/>
            <rFont val="Tahoma"/>
            <family val="2"/>
          </rPr>
          <t>om den skadade har högre pensionsavsättning än 4,5% lägg in året för den högre avsättningen och rätt procentsats</t>
        </r>
      </text>
    </comment>
  </commentList>
</comments>
</file>

<file path=xl/comments3.xml><?xml version="1.0" encoding="utf-8"?>
<comments xmlns="http://schemas.openxmlformats.org/spreadsheetml/2006/main">
  <authors>
    <author>Calle</author>
  </authors>
  <commentList>
    <comment ref="F10" authorId="0">
      <text>
        <r>
          <rPr>
            <sz val="9"/>
            <rFont val="Tahoma"/>
            <family val="2"/>
          </rPr>
          <t>lägg in samma första år som i ink.förlustberäkningen</t>
        </r>
      </text>
    </comment>
    <comment ref="F11" authorId="0">
      <text>
        <r>
          <rPr>
            <sz val="9"/>
            <rFont val="Tahoma"/>
            <family val="2"/>
          </rPr>
          <t>lägg in samma fastställelseår som fastställelseåret i förlustberäkningen</t>
        </r>
      </text>
    </comment>
    <comment ref="F13" authorId="0">
      <text>
        <r>
          <rPr>
            <sz val="9"/>
            <rFont val="Tahoma"/>
            <family val="2"/>
          </rPr>
          <t>Räknaren räknar automatiskt antal år fr.o.m.första år med ink.förlust fram till 65 år</t>
        </r>
      </text>
    </comment>
    <comment ref="F14" authorId="0">
      <text>
        <r>
          <rPr>
            <sz val="9"/>
            <rFont val="Tahoma"/>
            <family val="2"/>
          </rPr>
          <t>lägg in den senaste genomsnittliga årsinkomsten.
Pensionsmedförande lön - se sid 53 i anvisningarna</t>
        </r>
      </text>
    </comment>
    <comment ref="F16" authorId="0">
      <text>
        <r>
          <rPr>
            <sz val="9"/>
            <rFont val="Tahoma"/>
            <family val="2"/>
          </rPr>
          <t>lägg in den pensionsmedförande lönen vid sjukersättning eller vid LAF</t>
        </r>
      </text>
    </comment>
    <comment ref="F17" authorId="0">
      <text>
        <r>
          <rPr>
            <sz val="9"/>
            <rFont val="Tahoma"/>
            <family val="2"/>
          </rPr>
          <t>ange grad av arbetsoförmåga enligt AFAs svar</t>
        </r>
      </text>
    </comment>
    <comment ref="F19" authorId="0">
      <text>
        <r>
          <rPr>
            <sz val="9"/>
            <rFont val="Tahoma"/>
            <family val="2"/>
          </rPr>
          <t>lägg in den senaste årliga inkomsten som skadad</t>
        </r>
      </text>
    </comment>
    <comment ref="D20" authorId="0">
      <text>
        <r>
          <rPr>
            <sz val="9"/>
            <rFont val="Tahoma"/>
            <family val="2"/>
          </rPr>
          <t>räknaren räknar genomgående med 4,5% på ink. &lt;7,5 ibb och 30% på &gt;7,5 ibb</t>
        </r>
      </text>
    </comment>
    <comment ref="D21" authorId="0">
      <text>
        <r>
          <rPr>
            <sz val="9"/>
            <rFont val="Tahoma"/>
            <family val="2"/>
          </rPr>
          <t>om den skadade skulle ha haft högre premieavsättning än 4,5% - lägg in året för den högre avsättningen.</t>
        </r>
      </text>
    </comment>
    <comment ref="D22" authorId="0">
      <text>
        <r>
          <rPr>
            <sz val="9"/>
            <rFont val="Tahoma"/>
            <family val="2"/>
          </rPr>
          <t>om den skadade skulle ha haft högre premieavsättning än 4,5% - lägg in rätt procentsats.</t>
        </r>
      </text>
    </comment>
    <comment ref="D26" authorId="0">
      <text>
        <r>
          <rPr>
            <sz val="9"/>
            <rFont val="Tahoma"/>
            <family val="2"/>
          </rPr>
          <t>Om den skadade skulle ha haft högre premieavsättning som oskadad, kontrollera AFA,s svar ang vilken pensionsavgift  som betalas in till premiebefrielsförsäkringen, om denna är högre än 4,5% lägg in året för den högre avsättningen och rätt procentsats</t>
        </r>
      </text>
    </comment>
    <comment ref="D32" authorId="0">
      <text>
        <r>
          <rPr>
            <sz val="9"/>
            <rFont val="Tahoma"/>
            <family val="2"/>
          </rPr>
          <t>om den skadade har högre pensionsavsättning än 4,5% lägg in året för den högre avsättningen och rätt procentsats</t>
        </r>
      </text>
    </comment>
    <comment ref="E39" authorId="0">
      <text>
        <r>
          <rPr>
            <b/>
            <sz val="9"/>
            <rFont val="Tahoma"/>
            <family val="0"/>
          </rPr>
          <t>Omräknade belopp</t>
        </r>
      </text>
    </comment>
  </commentList>
</comments>
</file>

<file path=xl/comments4.xml><?xml version="1.0" encoding="utf-8"?>
<comments xmlns="http://schemas.openxmlformats.org/spreadsheetml/2006/main">
  <authors>
    <author>Calle</author>
  </authors>
  <commentList>
    <comment ref="F41" authorId="0">
      <text>
        <r>
          <rPr>
            <sz val="9"/>
            <rFont val="Tahoma"/>
            <family val="2"/>
          </rPr>
          <t>Omräknade belopp</t>
        </r>
      </text>
    </comment>
    <comment ref="F12" authorId="0">
      <text>
        <r>
          <rPr>
            <sz val="9"/>
            <rFont val="Tahoma"/>
            <family val="2"/>
          </rPr>
          <t>lägg in samma första år som i inkomstförlustberäkningen</t>
        </r>
      </text>
    </comment>
    <comment ref="F13" authorId="0">
      <text>
        <r>
          <rPr>
            <sz val="9"/>
            <rFont val="Tahoma"/>
            <family val="2"/>
          </rPr>
          <t>lägg in samma år som fastställelseåret i ink.förlustberäkningen</t>
        </r>
      </text>
    </comment>
    <comment ref="F15" authorId="0">
      <text>
        <r>
          <rPr>
            <sz val="9"/>
            <rFont val="Tahoma"/>
            <family val="2"/>
          </rPr>
          <t>räknaren räknar automatiskt antal år fr.o.m. första år med förlust fram till 65 år</t>
        </r>
      </text>
    </comment>
    <comment ref="F16" authorId="0">
      <text>
        <r>
          <rPr>
            <sz val="9"/>
            <rFont val="Tahoma"/>
            <family val="2"/>
          </rPr>
          <t>lägg in den senaste genomsnittliga årslönen. Pensionsmedförande lön - se sid 53 i anvisningarna</t>
        </r>
      </text>
    </comment>
    <comment ref="F18" authorId="0">
      <text>
        <r>
          <rPr>
            <sz val="9"/>
            <rFont val="Tahoma"/>
            <family val="2"/>
          </rPr>
          <t>lägg in den angivna senaste inrapporterade lönen/senaste pensionsunderlaget enl. besked från SPV eller KP</t>
        </r>
      </text>
    </comment>
    <comment ref="F21" authorId="0">
      <text>
        <r>
          <rPr>
            <sz val="9"/>
            <rFont val="Tahoma"/>
            <family val="2"/>
          </rPr>
          <t>lägg in den senaste årliga inkomsten som skadad</t>
        </r>
      </text>
    </comment>
    <comment ref="D22" authorId="0">
      <text>
        <r>
          <rPr>
            <sz val="9"/>
            <rFont val="Tahoma"/>
            <family val="2"/>
          </rPr>
          <t>räknaren räknar genomgående med 4,5% på ink &lt; 7,5 ibb och 30% &gt;7,5 ibb</t>
        </r>
      </text>
    </comment>
    <comment ref="D23" authorId="0">
      <text>
        <r>
          <rPr>
            <sz val="9"/>
            <rFont val="Tahoma"/>
            <family val="2"/>
          </rPr>
          <t>om den skadade skulle ha haft högre premieavsättning än 4,5% lägg in året för den högre premieavsättningen</t>
        </r>
      </text>
    </comment>
    <comment ref="D24" authorId="0">
      <text>
        <r>
          <rPr>
            <sz val="9"/>
            <rFont val="Tahoma"/>
            <family val="2"/>
          </rPr>
          <t>om den skadade skulle ha haft högre premieavsättning än 4,5% lägg in rätt procentsats.</t>
        </r>
      </text>
    </comment>
    <comment ref="D28" authorId="0">
      <text>
        <r>
          <rPr>
            <sz val="9"/>
            <rFont val="Tahoma"/>
            <family val="2"/>
          </rPr>
          <t>om den skadade skulle ha haft högre premieavsättning som oskadad, kontrollera SPV/KP¨s svar ang. vilken pensionsavgift som gäller som skadad. Om denna är högre än 4,5% - lägg in året för den högre avsättningen och rätt procentsats.</t>
        </r>
      </text>
    </comment>
    <comment ref="D34" authorId="0">
      <text>
        <r>
          <rPr>
            <sz val="9"/>
            <rFont val="Tahoma"/>
            <family val="2"/>
          </rPr>
          <t>om den skadade har högre pensionsavsättning än 4,5% - lägg in året för den högre avsättningen och rätt procentsats</t>
        </r>
      </text>
    </comment>
  </commentList>
</comments>
</file>

<file path=xl/comments5.xml><?xml version="1.0" encoding="utf-8"?>
<comments xmlns="http://schemas.openxmlformats.org/spreadsheetml/2006/main">
  <authors>
    <author>Calle</author>
  </authors>
  <commentList>
    <comment ref="F12" authorId="0">
      <text>
        <r>
          <rPr>
            <sz val="9"/>
            <rFont val="Tahoma"/>
            <family val="2"/>
          </rPr>
          <t>lägg in samma första år som i inkomstförlustberäkningen</t>
        </r>
      </text>
    </comment>
    <comment ref="F13" authorId="0">
      <text>
        <r>
          <rPr>
            <sz val="9"/>
            <rFont val="Tahoma"/>
            <family val="2"/>
          </rPr>
          <t>lägg in samma år som fastställelseåret i ink.förlustberäkningen</t>
        </r>
      </text>
    </comment>
    <comment ref="F15" authorId="0">
      <text>
        <r>
          <rPr>
            <sz val="9"/>
            <rFont val="Tahoma"/>
            <family val="2"/>
          </rPr>
          <t>räknaren räknar automatiskt antal år fr.o.m. första år med förlust fram till 65 år</t>
        </r>
      </text>
    </comment>
    <comment ref="F16" authorId="0">
      <text>
        <r>
          <rPr>
            <sz val="9"/>
            <rFont val="Tahoma"/>
            <family val="2"/>
          </rPr>
          <t>lägg in den senaste genomsnittliga årslönen. Pensionsmedförande lön - se sid 53 i anvisningarna</t>
        </r>
      </text>
    </comment>
    <comment ref="F18" authorId="0">
      <text>
        <r>
          <rPr>
            <sz val="9"/>
            <rFont val="Tahoma"/>
            <family val="2"/>
          </rPr>
          <t>lägg in den angivna senaste inrapporterade lönen/senaste pensionsunderlaget enl. besked från SPV eller KP</t>
        </r>
      </text>
    </comment>
    <comment ref="F21" authorId="0">
      <text>
        <r>
          <rPr>
            <sz val="9"/>
            <rFont val="Tahoma"/>
            <family val="2"/>
          </rPr>
          <t>lägg in den senaste årliga inkomsten som skadad</t>
        </r>
      </text>
    </comment>
    <comment ref="D22" authorId="0">
      <text>
        <r>
          <rPr>
            <sz val="9"/>
            <rFont val="Tahoma"/>
            <family val="2"/>
          </rPr>
          <t>räknaren räknar genomgående med 4,5% på ink &lt; 7,5 ibb och 30% &gt;7,5 ibb</t>
        </r>
      </text>
    </comment>
    <comment ref="D23" authorId="0">
      <text>
        <r>
          <rPr>
            <sz val="9"/>
            <rFont val="Tahoma"/>
            <family val="2"/>
          </rPr>
          <t>om den skadade skulle ha haft högre premieavsättning än 4,5% lägg in året för den högre premieavsättningen</t>
        </r>
      </text>
    </comment>
    <comment ref="D24" authorId="0">
      <text>
        <r>
          <rPr>
            <sz val="9"/>
            <rFont val="Tahoma"/>
            <family val="2"/>
          </rPr>
          <t>om den skadade skulle ha haft högre premieavsättning än 4,5% lägg in rätt procentsats.</t>
        </r>
      </text>
    </comment>
    <comment ref="D28" authorId="0">
      <text>
        <r>
          <rPr>
            <sz val="9"/>
            <rFont val="Tahoma"/>
            <family val="2"/>
          </rPr>
          <t>om den skadade skulle ha haft högre premieavsättning som oskadad, kontrollera SPV/KP¨s svar ang. vilken pensionsavgift som gäller som skadad. Om denna är högre än 4,5% - lägg in året för den högre avsättningen och rätt procentsats.</t>
        </r>
      </text>
    </comment>
    <comment ref="D34" authorId="0">
      <text>
        <r>
          <rPr>
            <sz val="9"/>
            <rFont val="Tahoma"/>
            <family val="2"/>
          </rPr>
          <t>om den skadade har högre pensionsavsättning än 4,5% - lägg in året för den högre avsättningen och rätt procentsats</t>
        </r>
      </text>
    </comment>
    <comment ref="F41" authorId="0">
      <text>
        <r>
          <rPr>
            <sz val="9"/>
            <rFont val="Tahoma"/>
            <family val="2"/>
          </rPr>
          <t>Omräknade belopp</t>
        </r>
      </text>
    </comment>
  </commentList>
</comments>
</file>

<file path=xl/comments6.xml><?xml version="1.0" encoding="utf-8"?>
<comments xmlns="http://schemas.openxmlformats.org/spreadsheetml/2006/main">
  <authors>
    <author>tibcar</author>
    <author>Calle</author>
  </authors>
  <commentList>
    <comment ref="E19" authorId="0">
      <text>
        <r>
          <rPr>
            <sz val="8"/>
            <rFont val="Tahoma"/>
            <family val="2"/>
          </rPr>
          <t>lägg in tjänstetidsfaktor enl. besked från Alecta. Full tjänstetid (360 mån) är faktor 1 annars lägre</t>
        </r>
      </text>
    </comment>
    <comment ref="D20" authorId="1">
      <text>
        <r>
          <rPr>
            <sz val="9"/>
            <rFont val="Tahoma"/>
            <family val="2"/>
          </rPr>
          <t>lägg in den senaste genomsnittliga årslönen. Pensionsmedförande lön - se sid 53 i anvisningarna</t>
        </r>
      </text>
    </comment>
    <comment ref="E28" authorId="1">
      <text>
        <r>
          <rPr>
            <sz val="9"/>
            <rFont val="Tahoma"/>
            <family val="2"/>
          </rPr>
          <t>lägg in summan av ITP + pensionstillägg per månad, omräknat till årsbelopp</t>
        </r>
      </text>
    </comment>
    <comment ref="D9" authorId="1">
      <text>
        <r>
          <rPr>
            <sz val="9"/>
            <rFont val="Tahoma"/>
            <family val="2"/>
          </rPr>
          <t>lägg in aktuellt år</t>
        </r>
      </text>
    </comment>
    <comment ref="D10" authorId="1">
      <text>
        <r>
          <rPr>
            <sz val="9"/>
            <rFont val="Tahoma"/>
            <family val="2"/>
          </rPr>
          <t>lägg in samma år som fastställelseåret i ink. förlustberäkningen</t>
        </r>
      </text>
    </comment>
  </commentList>
</comments>
</file>

<file path=xl/comments7.xml><?xml version="1.0" encoding="utf-8"?>
<comments xmlns="http://schemas.openxmlformats.org/spreadsheetml/2006/main">
  <authors>
    <author>Calle</author>
  </authors>
  <commentList>
    <comment ref="D19" authorId="0">
      <text>
        <r>
          <rPr>
            <sz val="9"/>
            <rFont val="Tahoma"/>
            <family val="2"/>
          </rPr>
          <t>lägg in samma första år som i inkomstförlustberäkningen</t>
        </r>
      </text>
    </comment>
    <comment ref="D20" authorId="0">
      <text>
        <r>
          <rPr>
            <sz val="9"/>
            <rFont val="Tahoma"/>
            <family val="2"/>
          </rPr>
          <t>fyll i aktuellt år</t>
        </r>
      </text>
    </comment>
    <comment ref="D21" authorId="0">
      <text>
        <r>
          <rPr>
            <sz val="9"/>
            <rFont val="Tahoma"/>
            <family val="2"/>
          </rPr>
          <t>räknaren räknar automatiskt med full intjänande tid - 30 intjänande år. Om antalet år fr.o.m. första år med förlust fram till 65 år inte uppgår till 30 år - lägg in rätt antal år</t>
        </r>
      </text>
    </comment>
    <comment ref="D23" authorId="0">
      <text>
        <r>
          <rPr>
            <sz val="9"/>
            <rFont val="Tahoma"/>
            <family val="2"/>
          </rPr>
          <t>räknaren räknar genomgående med 4,5% på ink. &lt;7,5 ibb och 30% &gt;7,5 ibb</t>
        </r>
      </text>
    </comment>
    <comment ref="D24" authorId="0">
      <text>
        <r>
          <rPr>
            <sz val="9"/>
            <rFont val="Tahoma"/>
            <family val="2"/>
          </rPr>
          <t>om den skadade skulle ha haft högre premieavsättning än 4,5% - lägg in rätt procentsats.</t>
        </r>
      </text>
    </comment>
    <comment ref="C36" authorId="0">
      <text>
        <r>
          <rPr>
            <sz val="9"/>
            <rFont val="Tahoma"/>
            <family val="2"/>
          </rPr>
          <t>räknaren räknar automatiskt med full intjänandetid - 30 intjänandeår. Om antalet år fr.o.m. första år med förlust fram till 65 år inte uppgår till 30 år - lägg in rätt antal år</t>
        </r>
      </text>
    </comment>
    <comment ref="D38" authorId="0">
      <text>
        <r>
          <rPr>
            <sz val="9"/>
            <rFont val="Tahoma"/>
            <family val="2"/>
          </rPr>
          <t>lägg in den senaste genomsnittliga årslönen. Pensionsmedförande lön - se si 53 i anvisningarna</t>
        </r>
      </text>
    </comment>
    <comment ref="D27" authorId="0">
      <text>
        <r>
          <rPr>
            <sz val="9"/>
            <rFont val="Tahoma"/>
            <family val="2"/>
          </rPr>
          <t xml:space="preserve">lägg in den senaste genomsnittliga årslönen. Pensionsmedförande lön - se sid 57 i anvisningarna </t>
        </r>
      </text>
    </comment>
    <comment ref="C34" authorId="0">
      <text>
        <r>
          <rPr>
            <sz val="9"/>
            <rFont val="Tahoma"/>
            <family val="2"/>
          </rPr>
          <t>lägg in samma första år som i inkomstförlustberäkningen</t>
        </r>
      </text>
    </comment>
    <comment ref="C35" authorId="0">
      <text>
        <r>
          <rPr>
            <sz val="9"/>
            <rFont val="Tahoma"/>
            <family val="2"/>
          </rPr>
          <t>Fyll i aktuellt år</t>
        </r>
      </text>
    </comment>
  </commentList>
</comments>
</file>

<file path=xl/comments8.xml><?xml version="1.0" encoding="utf-8"?>
<comments xmlns="http://schemas.openxmlformats.org/spreadsheetml/2006/main">
  <authors>
    <author>Calle</author>
  </authors>
  <commentList>
    <comment ref="C23" authorId="0">
      <text>
        <r>
          <rPr>
            <sz val="9"/>
            <rFont val="Tahoma"/>
            <family val="2"/>
          </rPr>
          <t>lägg in samma år som i inkomstförlustberäkningen</t>
        </r>
      </text>
    </comment>
    <comment ref="C24" authorId="0">
      <text>
        <r>
          <rPr>
            <sz val="9"/>
            <rFont val="Tahoma"/>
            <family val="2"/>
          </rPr>
          <t>Fyll i aktuellt år</t>
        </r>
      </text>
    </comment>
    <comment ref="C25" authorId="0">
      <text>
        <r>
          <rPr>
            <sz val="9"/>
            <rFont val="Tahoma"/>
            <family val="2"/>
          </rPr>
          <t>räknaren räknar automatiskt med full intjänande tid - 30 intjänandeår. Om antalet år fr.o.m. första år med förlust fram till 65 år inte uppgår till 30 år - lägg in rätt antal år</t>
        </r>
        <r>
          <rPr>
            <b/>
            <sz val="9"/>
            <rFont val="Tahoma"/>
            <family val="0"/>
          </rPr>
          <t xml:space="preserve"> </t>
        </r>
      </text>
    </comment>
    <comment ref="C27" authorId="0">
      <text>
        <r>
          <rPr>
            <sz val="9"/>
            <rFont val="Tahoma"/>
            <family val="2"/>
          </rPr>
          <t>Räknaren räknar genomgående med 4.5% på ink.&lt;7,5 ibb och 30% &gt;7,5 ibb.
Om den skadade skulle ha haft högre premieavsättning än 4.5% - lägg in året för den högre premieavsättningen.</t>
        </r>
      </text>
    </comment>
    <comment ref="C28" authorId="0">
      <text>
        <r>
          <rPr>
            <sz val="9"/>
            <rFont val="Tahoma"/>
            <family val="2"/>
          </rPr>
          <t>om den skadade skulle ha haft högre premieavsättning än 4,5% - lägg in rätt procentsats</t>
        </r>
      </text>
    </comment>
    <comment ref="C30" authorId="0">
      <text>
        <r>
          <rPr>
            <sz val="9"/>
            <rFont val="Tahoma"/>
            <family val="2"/>
          </rPr>
          <t>lägg in den senaste genomsnittliga årslönen. Pensionsmedförande lön - se sid 53 i anvisningarna</t>
        </r>
      </text>
    </comment>
    <comment ref="C31" authorId="0">
      <text>
        <r>
          <rPr>
            <sz val="9"/>
            <rFont val="Tahoma"/>
            <family val="2"/>
          </rPr>
          <t>lägg in den senaste genomsnittliga årslönen. Pensionsmedförande lön - se sid 53 i anvisningarna</t>
        </r>
      </text>
    </comment>
    <comment ref="C37" authorId="0">
      <text>
        <r>
          <rPr>
            <sz val="9"/>
            <rFont val="Tahoma"/>
            <family val="2"/>
          </rPr>
          <t>lägg in samma första år som i inkomstförlustberäkningen</t>
        </r>
      </text>
    </comment>
    <comment ref="C38" authorId="0">
      <text>
        <r>
          <rPr>
            <sz val="9"/>
            <rFont val="Tahoma"/>
            <family val="2"/>
          </rPr>
          <t>fyll i aktuellt år</t>
        </r>
      </text>
    </comment>
    <comment ref="C39" authorId="0">
      <text>
        <r>
          <rPr>
            <sz val="9"/>
            <rFont val="Tahoma"/>
            <family val="2"/>
          </rPr>
          <t xml:space="preserve">räknaren räknar automatiskt med full intjänande tid - 30 intjänandeår. Om antalet år fr.o.m. första år med förlust fram till 65 år inte uppgår till 30 år - lägg in rätt antal år </t>
        </r>
      </text>
    </comment>
    <comment ref="C41" authorId="0">
      <text>
        <r>
          <rPr>
            <sz val="9"/>
            <rFont val="Tahoma"/>
            <family val="2"/>
          </rPr>
          <t>lägg in den senaste genomsnittliga årslönen. Pensionsmedförande lön - se sid 53 i anvisningarna</t>
        </r>
      </text>
    </comment>
    <comment ref="C42" authorId="0">
      <text>
        <r>
          <rPr>
            <sz val="9"/>
            <rFont val="Tahoma"/>
            <family val="2"/>
          </rPr>
          <t>lägg in den senaste genomsnittliga årslönen. Pensionsmedförande lön - se sid 53 i anvisningarna</t>
        </r>
      </text>
    </comment>
  </commentList>
</comments>
</file>

<file path=xl/sharedStrings.xml><?xml version="1.0" encoding="utf-8"?>
<sst xmlns="http://schemas.openxmlformats.org/spreadsheetml/2006/main" count="581" uniqueCount="173">
  <si>
    <t>Beräkning av förlust av tjänstepension</t>
  </si>
  <si>
    <t>Avtalsområden</t>
  </si>
  <si>
    <t>Avtalspension SAF -LO</t>
  </si>
  <si>
    <t>Privatanställda arbetare</t>
  </si>
  <si>
    <t>KAP-KL, AKAP-KL, AKAP-KR</t>
  </si>
  <si>
    <t>Region- och kommunanställda</t>
  </si>
  <si>
    <t>PA16, PA03 (SPV), KP</t>
  </si>
  <si>
    <t>Statligt anställda, kooperativt anställda</t>
  </si>
  <si>
    <t>ITP-planen eller motsvarande</t>
  </si>
  <si>
    <t>Privatanställda tjänstemän. Födda 1979 och senare</t>
  </si>
  <si>
    <t>Privatanställda tjänstemän. Födda 1978 och tidigare</t>
  </si>
  <si>
    <t>Beräkningsmodeller</t>
  </si>
  <si>
    <t>Den skadade omfattas av en premie- eller avgiftsförsäkring</t>
  </si>
  <si>
    <r>
      <t>1</t>
    </r>
    <r>
      <rPr>
        <sz val="10"/>
        <rFont val="Times New Roman"/>
        <family val="1"/>
      </rPr>
      <t xml:space="preserve">     SAF-LO</t>
    </r>
  </si>
  <si>
    <r>
      <t>2</t>
    </r>
    <r>
      <rPr>
        <sz val="10"/>
        <rFont val="Arial"/>
        <family val="2"/>
      </rPr>
      <t xml:space="preserve">    KAP-KL, AKAP-KL, AKAP-KR</t>
    </r>
  </si>
  <si>
    <r>
      <t xml:space="preserve">3 </t>
    </r>
    <r>
      <rPr>
        <sz val="10"/>
        <rFont val="Arial"/>
        <family val="2"/>
      </rPr>
      <t xml:space="preserve">   PA16, PA03, KP</t>
    </r>
  </si>
  <si>
    <r>
      <t xml:space="preserve">4 </t>
    </r>
    <r>
      <rPr>
        <sz val="10"/>
        <rFont val="Arial"/>
        <family val="2"/>
      </rPr>
      <t xml:space="preserve">   ITP 1</t>
    </r>
  </si>
  <si>
    <r>
      <t>5</t>
    </r>
    <r>
      <rPr>
        <sz val="10"/>
        <rFont val="Arial"/>
        <family val="2"/>
      </rPr>
      <t xml:space="preserve">    ITP 2</t>
    </r>
  </si>
  <si>
    <t>Förlusten beräknas, under aktuell flik, utifrån premie/avgiftsbefrielseförsäkring i respektive avtal</t>
  </si>
  <si>
    <t>ITP 2: Alectas besked omfattar endast ITP men i beräkningsmodellen tas även hänsyn till ITPK</t>
  </si>
  <si>
    <t>6      Den skadade är inte berättigad till tjänstepension efter skadan men det kan antas att han/hon som</t>
  </si>
  <si>
    <t xml:space="preserve">       oskadad skulle ha varit det. </t>
  </si>
  <si>
    <t xml:space="preserve">       Den skadade har inte återgått i arbete</t>
  </si>
  <si>
    <t xml:space="preserve">       Förlusten beräknas,under aktuell flik, till en viss procent av den pensionsmedförande lönen</t>
  </si>
  <si>
    <t>7      Den skadade är berättigad till tjänstepension efter skadan men omfattas inte av en premie- eller</t>
  </si>
  <si>
    <t xml:space="preserve">avgiftsbefrielseförsäkring. Det kan antas att han/hon som oskadad skulle ha varit berättigad till hel </t>
  </si>
  <si>
    <t>tjänstepension</t>
  </si>
  <si>
    <t>TN</t>
  </si>
  <si>
    <t>Skada nummer</t>
  </si>
  <si>
    <t>Namn</t>
  </si>
  <si>
    <t>Handläggare</t>
  </si>
  <si>
    <t>SAF-LO</t>
  </si>
  <si>
    <t xml:space="preserve">         " trappan"</t>
  </si>
  <si>
    <t>Första- resp. sista året i tabellen</t>
  </si>
  <si>
    <t>född år</t>
  </si>
  <si>
    <t>Första år med inkomstförlust</t>
  </si>
  <si>
    <t>65 år</t>
  </si>
  <si>
    <t>Fastställelseår</t>
  </si>
  <si>
    <t>7,5 ibb</t>
  </si>
  <si>
    <t>fastst.år</t>
  </si>
  <si>
    <t>Född år</t>
  </si>
  <si>
    <t>intjänade år</t>
  </si>
  <si>
    <t>Intjänade år</t>
  </si>
  <si>
    <t>mellan åren:</t>
  </si>
  <si>
    <t>slutår</t>
  </si>
  <si>
    <r>
      <t>Oskadad</t>
    </r>
    <r>
      <rPr>
        <sz val="10"/>
        <rFont val="Arial"/>
        <family val="0"/>
      </rPr>
      <t xml:space="preserve">  pensionsmedförande lön</t>
    </r>
  </si>
  <si>
    <t>första år</t>
  </si>
  <si>
    <t>Skadad</t>
  </si>
  <si>
    <t>premieunderlag i premiebefrielseförsäkringen</t>
  </si>
  <si>
    <t>sjukersättning-, premiebefrielsegrad</t>
  </si>
  <si>
    <t>13% / 30</t>
  </si>
  <si>
    <t>som skadad</t>
  </si>
  <si>
    <t>Oskadad</t>
  </si>
  <si>
    <t>som oskadad</t>
  </si>
  <si>
    <t>Arbetsinkomst</t>
  </si>
  <si>
    <t>arb.inkomst</t>
  </si>
  <si>
    <t>sjukersättn</t>
  </si>
  <si>
    <t>summa</t>
  </si>
  <si>
    <t>arbetsinkomst</t>
  </si>
  <si>
    <t>år</t>
  </si>
  <si>
    <t>&lt; 7,5 ibb</t>
  </si>
  <si>
    <t>&gt; 7,5 ibb</t>
  </si>
  <si>
    <t>68% /30</t>
  </si>
  <si>
    <t>tillägg proc</t>
  </si>
  <si>
    <t>tillägg kr</t>
  </si>
  <si>
    <t>årligen</t>
  </si>
  <si>
    <t>&lt;7,5 ibb</t>
  </si>
  <si>
    <t>&gt;7,5 ibb</t>
  </si>
  <si>
    <t>68%/30</t>
  </si>
  <si>
    <t>oskadad</t>
  </si>
  <si>
    <t>År för högre premieavsättning än 4,5%</t>
  </si>
  <si>
    <t>högre premieavsättning än 4,5 %</t>
  </si>
  <si>
    <t>skadad-premiebefrielseförsäkring</t>
  </si>
  <si>
    <t>Årlig förlust av tjänstepension SAF-LO</t>
  </si>
  <si>
    <t>Utskriftsdatum</t>
  </si>
  <si>
    <r>
      <t>Oskadad</t>
    </r>
    <r>
      <rPr>
        <sz val="10"/>
        <rFont val="Arial"/>
        <family val="0"/>
      </rPr>
      <t xml:space="preserve">  Pensionsmedförande lön</t>
    </r>
  </si>
  <si>
    <t>skadad premiebefrielseförsäkring</t>
  </si>
  <si>
    <t>PA 16,  PA 03,  KP</t>
  </si>
  <si>
    <t>Årlig förlust av tjänstepension</t>
  </si>
  <si>
    <t xml:space="preserve">       Oskadad</t>
  </si>
  <si>
    <t>1:a år med ink.förlust</t>
  </si>
  <si>
    <t>p-medf lön</t>
  </si>
  <si>
    <t>arbetsoförmåga</t>
  </si>
  <si>
    <t>fastställelseår</t>
  </si>
  <si>
    <t>inkomstbasbelopp</t>
  </si>
  <si>
    <t>30-del</t>
  </si>
  <si>
    <t>intjänande år, max 30</t>
  </si>
  <si>
    <t>lön som oskadad</t>
  </si>
  <si>
    <t>år högre premieavs.</t>
  </si>
  <si>
    <t>högre premieavs %</t>
  </si>
  <si>
    <t>OSKADAD</t>
  </si>
  <si>
    <t>SKADAD</t>
  </si>
  <si>
    <t>Summa</t>
  </si>
  <si>
    <t>Född</t>
  </si>
  <si>
    <t>Pensionsmedförande lön som oskadad</t>
  </si>
  <si>
    <t>År för ev. högre premieavsättning än 4,5%</t>
  </si>
  <si>
    <t>p-medf.lön</t>
  </si>
  <si>
    <t>ITP 2   födda 1978 och tidigare</t>
  </si>
  <si>
    <t>pensionsmedförande lön</t>
  </si>
  <si>
    <t>År för ev högre premieavs,</t>
  </si>
  <si>
    <t>Högre premieavs. %</t>
  </si>
  <si>
    <t>Ink.basbelopp</t>
  </si>
  <si>
    <t>( ITP 2: Alectas besked omfattar endast ITP men i beräkningsmodellen tas även hänsyn till ITPK.)</t>
  </si>
  <si>
    <t>tjänstetids-</t>
  </si>
  <si>
    <t>ITP</t>
  </si>
  <si>
    <t>faktor</t>
  </si>
  <si>
    <t>Pensionsmedförande lön som oskadad:</t>
  </si>
  <si>
    <t>Beräknad ålderspension från ITP och ITPK</t>
  </si>
  <si>
    <t>Pension</t>
  </si>
  <si>
    <t>Summa pension som oskadad när tjänstetidsfaktorn har beaktats:</t>
  </si>
  <si>
    <t>skadad</t>
  </si>
  <si>
    <t>Ålderspension som skadad</t>
  </si>
  <si>
    <t>Enligt besked från Alecta     ITP</t>
  </si>
  <si>
    <t>ITPK</t>
  </si>
  <si>
    <t>fördelning av beloppet inom följande intervall</t>
  </si>
  <si>
    <t>gränsvärde</t>
  </si>
  <si>
    <t>fördelning</t>
  </si>
  <si>
    <t>andelar</t>
  </si>
  <si>
    <t>o - 7,5 ink.bb / förh.pbb</t>
  </si>
  <si>
    <t>7,5 -20 ink.bb / förh.pbb</t>
  </si>
  <si>
    <t>20 - 30 ink.bb / förh.pbb</t>
  </si>
  <si>
    <t xml:space="preserve">             Skadad ITP + ITPK</t>
  </si>
  <si>
    <t xml:space="preserve">       förlust av ITP</t>
  </si>
  <si>
    <t>avgår: Ev intjänadpensionsrätt från annan pensionsanstalt som ej beaktats ovan</t>
  </si>
  <si>
    <t xml:space="preserve">          Årlig förlust av tjänstepension, ITP 2:</t>
  </si>
  <si>
    <t>Trappan</t>
  </si>
  <si>
    <t>Skada nr</t>
  </si>
  <si>
    <t xml:space="preserve">            Fastställelseår</t>
  </si>
  <si>
    <t>ÅÅÅÅ</t>
  </si>
  <si>
    <t xml:space="preserve">6.      Den skadade är inte berättigad till tjänstepension efter skadan men det kan </t>
  </si>
  <si>
    <t xml:space="preserve">         antas att han eller hon som oskadad skulle ha varit det.</t>
  </si>
  <si>
    <t>Förlusten beräknas till en viss procent av den pensionsmedförande lönen.</t>
  </si>
  <si>
    <t xml:space="preserve">SAF-LO, ITP 1, KAP-KL, A-KAP-KR, A-KAP-KR, PA 16, KP </t>
  </si>
  <si>
    <t xml:space="preserve">tillägg </t>
  </si>
  <si>
    <t>tillägg</t>
  </si>
  <si>
    <t>proc.</t>
  </si>
  <si>
    <t>kr</t>
  </si>
  <si>
    <t>Intjänande år (max 30)</t>
  </si>
  <si>
    <t>Högre premieavsättning än 4,5  %</t>
  </si>
  <si>
    <t>omräknat</t>
  </si>
  <si>
    <t xml:space="preserve">Som oskadad, pensionsmedförande lön </t>
  </si>
  <si>
    <t xml:space="preserve">             Årlig förlust av tjänstepension </t>
  </si>
  <si>
    <t>ITP2</t>
  </si>
  <si>
    <t>antal år till 65 år</t>
  </si>
  <si>
    <t>från år med ink.förl.</t>
  </si>
  <si>
    <t xml:space="preserve">Intjänande år (max 30) </t>
  </si>
  <si>
    <t xml:space="preserve">ITP 2 </t>
  </si>
  <si>
    <t xml:space="preserve">                               Årlig förlust av tjänstepension: ITP2</t>
  </si>
  <si>
    <t>ITP 2</t>
  </si>
  <si>
    <t xml:space="preserve">  </t>
  </si>
  <si>
    <t>utskriftsdatum</t>
  </si>
  <si>
    <t>Intjänandeår</t>
  </si>
  <si>
    <r>
      <t>7</t>
    </r>
    <r>
      <rPr>
        <sz val="10"/>
        <rFont val="Times New Roman"/>
        <family val="1"/>
      </rPr>
      <t>      Den skadade är berättigad till tjänstepension efter skadan men omfattas inte av en premie- eller</t>
    </r>
  </si>
  <si>
    <t>SAF-LO, ITP1, PA, KAP-KL, PFA, AKAP-KL</t>
  </si>
  <si>
    <t>Högre premieavsättning än 4,5 %</t>
  </si>
  <si>
    <t>Pensionsmedförande lön som skadad</t>
  </si>
  <si>
    <t xml:space="preserve">                                Årlig förlust av tjänstepension:</t>
  </si>
  <si>
    <t>utskriftsdatum:</t>
  </si>
  <si>
    <t>intjänandeår</t>
  </si>
  <si>
    <t>inkomst-</t>
  </si>
  <si>
    <t>7,5 ink.</t>
  </si>
  <si>
    <t>År</t>
  </si>
  <si>
    <t>basbelopp</t>
  </si>
  <si>
    <t>TN version/datum</t>
  </si>
  <si>
    <t>kompletteras</t>
  </si>
  <si>
    <t>ITP 1 födda 1979 och senare</t>
  </si>
  <si>
    <t>premiebefrielse LAF</t>
  </si>
  <si>
    <t>LAF</t>
  </si>
  <si>
    <t xml:space="preserve">        Efter höjning år</t>
  </si>
  <si>
    <t xml:space="preserve"> KAP-KL AKAP-KL AKAP-KR</t>
  </si>
  <si>
    <t xml:space="preserve">       Den skadade har återgått i arbete med lägre inkomst som skadad. </t>
  </si>
  <si>
    <t xml:space="preserve">      Den skadade har återgått i arbete med lägre inkomst som skadad. </t>
  </si>
  <si>
    <t>24 J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</si>
</sst>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  <numFmt numFmtId="167" formatCode="###,###&quot; *10%&quot;"/>
    <numFmt numFmtId="168" formatCode="###,###&quot; *65%&quot;"/>
    <numFmt numFmtId="169" formatCode="###,###&quot; *32,5%&quot;"/>
    <numFmt numFmtId="170" formatCode="#&quot;3/32,5&quot;"/>
    <numFmt numFmtId="171" formatCode="#,##0.0000"/>
    <numFmt numFmtId="172" formatCode="##&quot; år&quot;"/>
    <numFmt numFmtId="173" formatCode="&quot;år &quot;####"/>
    <numFmt numFmtId="174" formatCode="&quot;före år &quot;####"/>
    <numFmt numFmtId="175" formatCode="&quot;och &quot;####"/>
    <numFmt numFmtId="176" formatCode="##%&quot; /30&quot;"/>
    <numFmt numFmtId="177" formatCode="#&quot;f.o.m. år &quot;####"/>
    <numFmt numFmtId="178" formatCode="##&quot; -del&quot;"/>
    <numFmt numFmtId="179" formatCode="#,##0.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i/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i/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0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17"/>
      <name val="Times New Roman"/>
      <family val="1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Times New Roman"/>
      <family val="1"/>
    </font>
    <font>
      <u val="single"/>
      <sz val="10"/>
      <name val="Times New Roman"/>
      <family val="1"/>
    </font>
    <font>
      <sz val="9"/>
      <name val="Tahoma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20" borderId="1" applyNumberFormat="0" applyFont="0" applyAlignment="0" applyProtection="0"/>
    <xf numFmtId="0" fontId="63" fillId="21" borderId="2" applyNumberFormat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31" borderId="3" applyNumberFormat="0" applyAlignment="0" applyProtection="0"/>
    <xf numFmtId="0" fontId="72" fillId="0" borderId="4" applyNumberFormat="0" applyFill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indent="2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indent="2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left" indent="2"/>
    </xf>
    <xf numFmtId="3" fontId="0" fillId="33" borderId="19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166" fontId="0" fillId="33" borderId="0" xfId="0" applyNumberFormat="1" applyFont="1" applyFill="1" applyAlignment="1">
      <alignment/>
    </xf>
    <xf numFmtId="3" fontId="7" fillId="33" borderId="2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12" fillId="33" borderId="19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4" borderId="19" xfId="0" applyFont="1" applyFill="1" applyBorder="1" applyAlignment="1" applyProtection="1">
      <alignment/>
      <protection locked="0"/>
    </xf>
    <xf numFmtId="3" fontId="0" fillId="34" borderId="19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Alignment="1">
      <alignment/>
    </xf>
    <xf numFmtId="3" fontId="0" fillId="35" borderId="19" xfId="0" applyNumberFormat="1" applyFill="1" applyBorder="1" applyAlignment="1">
      <alignment/>
    </xf>
    <xf numFmtId="9" fontId="0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/>
    </xf>
    <xf numFmtId="166" fontId="0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3" fontId="0" fillId="35" borderId="19" xfId="0" applyNumberFormat="1" applyFill="1" applyBorder="1" applyAlignment="1" applyProtection="1">
      <alignment/>
      <protection locked="0"/>
    </xf>
    <xf numFmtId="0" fontId="0" fillId="33" borderId="23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14" fontId="3" fillId="33" borderId="0" xfId="0" applyNumberFormat="1" applyFont="1" applyFill="1" applyAlignment="1">
      <alignment horizontal="left"/>
    </xf>
    <xf numFmtId="171" fontId="0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/>
    </xf>
    <xf numFmtId="3" fontId="0" fillId="33" borderId="24" xfId="0" applyNumberFormat="1" applyFill="1" applyBorder="1" applyAlignment="1">
      <alignment/>
    </xf>
    <xf numFmtId="3" fontId="0" fillId="33" borderId="0" xfId="0" applyNumberFormat="1" applyFill="1" applyAlignment="1">
      <alignment horizontal="center"/>
    </xf>
    <xf numFmtId="3" fontId="0" fillId="33" borderId="19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33" borderId="19" xfId="0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9" fontId="0" fillId="33" borderId="0" xfId="0" applyNumberFormat="1" applyFill="1" applyAlignment="1">
      <alignment/>
    </xf>
    <xf numFmtId="3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0" fillId="33" borderId="13" xfId="0" applyFill="1" applyBorder="1" applyAlignment="1">
      <alignment horizontal="center"/>
    </xf>
    <xf numFmtId="13" fontId="0" fillId="33" borderId="0" xfId="0" applyNumberFormat="1" applyFill="1" applyAlignment="1">
      <alignment/>
    </xf>
    <xf numFmtId="0" fontId="0" fillId="33" borderId="2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1" fontId="3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175" fontId="3" fillId="33" borderId="12" xfId="0" applyNumberFormat="1" applyFont="1" applyFill="1" applyBorder="1" applyAlignment="1">
      <alignment horizontal="left"/>
    </xf>
    <xf numFmtId="9" fontId="0" fillId="33" borderId="15" xfId="0" applyNumberFormat="1" applyFill="1" applyBorder="1" applyAlignment="1">
      <alignment horizontal="center"/>
    </xf>
    <xf numFmtId="9" fontId="0" fillId="33" borderId="23" xfId="0" applyNumberFormat="1" applyFill="1" applyBorder="1" applyAlignment="1">
      <alignment horizontal="center"/>
    </xf>
    <xf numFmtId="9" fontId="0" fillId="33" borderId="17" xfId="0" applyNumberFormat="1" applyFill="1" applyBorder="1" applyAlignment="1">
      <alignment horizontal="center"/>
    </xf>
    <xf numFmtId="1" fontId="3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1" fontId="19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4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4" fontId="0" fillId="35" borderId="19" xfId="0" applyNumberFormat="1" applyFill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3" fillId="33" borderId="0" xfId="0" applyFont="1" applyFill="1" applyAlignment="1">
      <alignment horizontal="left"/>
    </xf>
    <xf numFmtId="3" fontId="1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19" xfId="0" applyNumberFormat="1" applyBorder="1" applyAlignment="1" applyProtection="1">
      <alignment horizontal="center"/>
      <protection locked="0"/>
    </xf>
    <xf numFmtId="3" fontId="3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9" fontId="0" fillId="0" borderId="19" xfId="0" applyNumberFormat="1" applyBorder="1" applyAlignment="1" applyProtection="1">
      <alignment horizontal="center"/>
      <protection locked="0"/>
    </xf>
    <xf numFmtId="9" fontId="0" fillId="33" borderId="0" xfId="0" applyNumberFormat="1" applyFill="1" applyAlignment="1">
      <alignment horizontal="center"/>
    </xf>
    <xf numFmtId="0" fontId="15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10" fontId="0" fillId="33" borderId="27" xfId="0" applyNumberFormat="1" applyFill="1" applyBorder="1" applyAlignment="1">
      <alignment/>
    </xf>
    <xf numFmtId="0" fontId="16" fillId="33" borderId="27" xfId="0" applyFont="1" applyFill="1" applyBorder="1" applyAlignment="1">
      <alignment/>
    </xf>
    <xf numFmtId="10" fontId="11" fillId="33" borderId="27" xfId="0" applyNumberFormat="1" applyFont="1" applyFill="1" applyBorder="1" applyAlignment="1">
      <alignment/>
    </xf>
    <xf numFmtId="10" fontId="11" fillId="33" borderId="27" xfId="0" applyNumberFormat="1" applyFont="1" applyFill="1" applyBorder="1" applyAlignment="1">
      <alignment horizontal="right"/>
    </xf>
    <xf numFmtId="0" fontId="16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0" xfId="0" applyFont="1" applyFill="1" applyAlignment="1">
      <alignment/>
    </xf>
    <xf numFmtId="10" fontId="0" fillId="33" borderId="0" xfId="0" applyNumberFormat="1" applyFill="1" applyAlignment="1">
      <alignment/>
    </xf>
    <xf numFmtId="0" fontId="16" fillId="33" borderId="0" xfId="0" applyFont="1" applyFill="1" applyAlignment="1">
      <alignment horizontal="center"/>
    </xf>
    <xf numFmtId="3" fontId="0" fillId="33" borderId="29" xfId="0" applyNumberFormat="1" applyFill="1" applyBorder="1" applyAlignment="1">
      <alignment/>
    </xf>
    <xf numFmtId="3" fontId="3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 horizontal="center"/>
    </xf>
    <xf numFmtId="10" fontId="11" fillId="33" borderId="0" xfId="0" applyNumberFormat="1" applyFont="1" applyFill="1" applyAlignment="1">
      <alignment horizontal="right"/>
    </xf>
    <xf numFmtId="0" fontId="16" fillId="33" borderId="30" xfId="0" applyFont="1" applyFill="1" applyBorder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8" fillId="33" borderId="29" xfId="0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176" fontId="0" fillId="33" borderId="0" xfId="0" applyNumberFormat="1" applyFill="1" applyAlignment="1">
      <alignment/>
    </xf>
    <xf numFmtId="0" fontId="21" fillId="33" borderId="0" xfId="0" applyFont="1" applyFill="1" applyAlignment="1">
      <alignment horizontal="center"/>
    </xf>
    <xf numFmtId="3" fontId="8" fillId="33" borderId="29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/>
    </xf>
    <xf numFmtId="176" fontId="0" fillId="33" borderId="0" xfId="0" applyNumberFormat="1" applyFill="1" applyAlignment="1">
      <alignment horizontal="center"/>
    </xf>
    <xf numFmtId="0" fontId="21" fillId="33" borderId="30" xfId="0" applyFont="1" applyFill="1" applyBorder="1" applyAlignment="1">
      <alignment horizontal="center"/>
    </xf>
    <xf numFmtId="3" fontId="16" fillId="33" borderId="0" xfId="0" applyNumberFormat="1" applyFont="1" applyFill="1" applyAlignment="1">
      <alignment/>
    </xf>
    <xf numFmtId="9" fontId="0" fillId="33" borderId="0" xfId="50" applyFont="1" applyFill="1" applyBorder="1" applyAlignment="1">
      <alignment/>
    </xf>
    <xf numFmtId="3" fontId="16" fillId="33" borderId="0" xfId="50" applyNumberFormat="1" applyFont="1" applyFill="1" applyBorder="1" applyAlignment="1">
      <alignment/>
    </xf>
    <xf numFmtId="1" fontId="0" fillId="33" borderId="29" xfId="0" applyNumberFormat="1" applyFill="1" applyBorder="1" applyAlignment="1">
      <alignment horizontal="center"/>
    </xf>
    <xf numFmtId="3" fontId="11" fillId="33" borderId="0" xfId="0" applyNumberFormat="1" applyFont="1" applyFill="1" applyAlignment="1">
      <alignment/>
    </xf>
    <xf numFmtId="3" fontId="0" fillId="33" borderId="30" xfId="0" applyNumberFormat="1" applyFill="1" applyBorder="1" applyAlignment="1">
      <alignment/>
    </xf>
    <xf numFmtId="1" fontId="11" fillId="0" borderId="19" xfId="0" applyNumberFormat="1" applyFont="1" applyBorder="1" applyAlignment="1" applyProtection="1">
      <alignment horizontal="center"/>
      <protection locked="0"/>
    </xf>
    <xf numFmtId="0" fontId="18" fillId="33" borderId="0" xfId="0" applyFont="1" applyFill="1" applyAlignment="1">
      <alignment/>
    </xf>
    <xf numFmtId="10" fontId="11" fillId="0" borderId="20" xfId="0" applyNumberFormat="1" applyFont="1" applyBorder="1" applyAlignment="1" applyProtection="1">
      <alignment horizontal="center"/>
      <protection locked="0"/>
    </xf>
    <xf numFmtId="0" fontId="11" fillId="33" borderId="10" xfId="0" applyFont="1" applyFill="1" applyBorder="1" applyAlignment="1">
      <alignment/>
    </xf>
    <xf numFmtId="10" fontId="11" fillId="33" borderId="12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0" fontId="11" fillId="33" borderId="12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0" fontId="11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center"/>
    </xf>
    <xf numFmtId="3" fontId="11" fillId="33" borderId="19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3" fontId="4" fillId="33" borderId="22" xfId="0" applyNumberFormat="1" applyFont="1" applyFill="1" applyBorder="1" applyAlignment="1">
      <alignment horizontal="center"/>
    </xf>
    <xf numFmtId="3" fontId="21" fillId="33" borderId="0" xfId="50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3" fontId="0" fillId="33" borderId="32" xfId="0" applyNumberFormat="1" applyFill="1" applyBorder="1" applyAlignment="1">
      <alignment/>
    </xf>
    <xf numFmtId="3" fontId="28" fillId="33" borderId="33" xfId="0" applyNumberFormat="1" applyFont="1" applyFill="1" applyBorder="1" applyAlignment="1">
      <alignment/>
    </xf>
    <xf numFmtId="3" fontId="28" fillId="33" borderId="22" xfId="0" applyNumberFormat="1" applyFont="1" applyFill="1" applyBorder="1" applyAlignment="1">
      <alignment/>
    </xf>
    <xf numFmtId="166" fontId="0" fillId="33" borderId="0" xfId="0" applyNumberFormat="1" applyFill="1" applyAlignment="1">
      <alignment/>
    </xf>
    <xf numFmtId="3" fontId="22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left"/>
    </xf>
    <xf numFmtId="9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66" fontId="0" fillId="33" borderId="19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167" fontId="3" fillId="33" borderId="19" xfId="0" applyNumberFormat="1" applyFont="1" applyFill="1" applyBorder="1" applyAlignment="1">
      <alignment horizontal="left"/>
    </xf>
    <xf numFmtId="13" fontId="11" fillId="33" borderId="20" xfId="0" applyNumberFormat="1" applyFont="1" applyFill="1" applyBorder="1" applyAlignment="1">
      <alignment/>
    </xf>
    <xf numFmtId="168" fontId="3" fillId="33" borderId="19" xfId="0" applyNumberFormat="1" applyFont="1" applyFill="1" applyBorder="1" applyAlignment="1">
      <alignment horizontal="left"/>
    </xf>
    <xf numFmtId="13" fontId="11" fillId="33" borderId="19" xfId="0" applyNumberFormat="1" applyFont="1" applyFill="1" applyBorder="1" applyAlignment="1">
      <alignment/>
    </xf>
    <xf numFmtId="169" fontId="3" fillId="33" borderId="19" xfId="0" applyNumberFormat="1" applyFont="1" applyFill="1" applyBorder="1" applyAlignment="1">
      <alignment horizontal="left"/>
    </xf>
    <xf numFmtId="170" fontId="11" fillId="33" borderId="19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 horizontal="center"/>
    </xf>
    <xf numFmtId="3" fontId="0" fillId="33" borderId="22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3" fontId="3" fillId="33" borderId="12" xfId="0" applyNumberFormat="1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73" fontId="3" fillId="33" borderId="19" xfId="0" applyNumberFormat="1" applyFont="1" applyFill="1" applyBorder="1" applyAlignment="1">
      <alignment horizontal="center"/>
    </xf>
    <xf numFmtId="172" fontId="3" fillId="33" borderId="19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166" fontId="0" fillId="0" borderId="19" xfId="0" applyNumberFormat="1" applyFont="1" applyBorder="1" applyAlignment="1" applyProtection="1">
      <alignment horizontal="center"/>
      <protection locked="0"/>
    </xf>
    <xf numFmtId="177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" fontId="0" fillId="33" borderId="19" xfId="0" applyNumberFormat="1" applyFill="1" applyBorder="1" applyAlignment="1">
      <alignment horizontal="center"/>
    </xf>
    <xf numFmtId="3" fontId="0" fillId="33" borderId="19" xfId="0" applyNumberFormat="1" applyFon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9" fontId="0" fillId="33" borderId="24" xfId="0" applyNumberFormat="1" applyFill="1" applyBorder="1" applyAlignment="1">
      <alignment/>
    </xf>
    <xf numFmtId="9" fontId="3" fillId="33" borderId="0" xfId="0" applyNumberFormat="1" applyFont="1" applyFill="1" applyAlignment="1">
      <alignment horizontal="right"/>
    </xf>
    <xf numFmtId="9" fontId="11" fillId="33" borderId="0" xfId="0" applyNumberFormat="1" applyFont="1" applyFill="1" applyAlignment="1">
      <alignment horizontal="right"/>
    </xf>
    <xf numFmtId="0" fontId="0" fillId="33" borderId="10" xfId="0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3" fontId="0" fillId="33" borderId="15" xfId="0" applyNumberFormat="1" applyFill="1" applyBorder="1" applyAlignment="1">
      <alignment/>
    </xf>
    <xf numFmtId="1" fontId="0" fillId="33" borderId="21" xfId="0" applyNumberFormat="1" applyFill="1" applyBorder="1" applyAlignment="1">
      <alignment horizontal="center"/>
    </xf>
    <xf numFmtId="0" fontId="0" fillId="33" borderId="24" xfId="0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3" fontId="0" fillId="33" borderId="23" xfId="0" applyNumberFormat="1" applyFill="1" applyBorder="1" applyAlignment="1">
      <alignment/>
    </xf>
    <xf numFmtId="10" fontId="30" fillId="33" borderId="0" xfId="0" applyNumberFormat="1" applyFont="1" applyFill="1" applyAlignment="1">
      <alignment/>
    </xf>
    <xf numFmtId="178" fontId="0" fillId="33" borderId="24" xfId="0" applyNumberFormat="1" applyFill="1" applyBorder="1" applyAlignment="1">
      <alignment/>
    </xf>
    <xf numFmtId="178" fontId="0" fillId="33" borderId="18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0" fillId="33" borderId="17" xfId="0" applyNumberFormat="1" applyFill="1" applyBorder="1" applyAlignment="1">
      <alignment/>
    </xf>
    <xf numFmtId="0" fontId="30" fillId="33" borderId="0" xfId="0" applyFont="1" applyFill="1" applyAlignment="1">
      <alignment/>
    </xf>
    <xf numFmtId="9" fontId="0" fillId="33" borderId="13" xfId="0" applyNumberForma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10" fontId="0" fillId="33" borderId="0" xfId="0" applyNumberFormat="1" applyFont="1" applyFill="1" applyAlignment="1">
      <alignment horizontal="center"/>
    </xf>
    <xf numFmtId="3" fontId="30" fillId="33" borderId="0" xfId="0" applyNumberFormat="1" applyFont="1" applyFill="1" applyAlignment="1">
      <alignment/>
    </xf>
    <xf numFmtId="9" fontId="11" fillId="33" borderId="0" xfId="0" applyNumberFormat="1" applyFont="1" applyFill="1" applyAlignment="1">
      <alignment/>
    </xf>
    <xf numFmtId="0" fontId="15" fillId="33" borderId="14" xfId="0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74" fontId="0" fillId="33" borderId="0" xfId="0" applyNumberFormat="1" applyFill="1" applyAlignment="1">
      <alignment/>
    </xf>
    <xf numFmtId="1" fontId="0" fillId="33" borderId="14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33" borderId="24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9" fontId="0" fillId="33" borderId="16" xfId="0" applyNumberFormat="1" applyFont="1" applyFill="1" applyBorder="1" applyAlignment="1">
      <alignment/>
    </xf>
    <xf numFmtId="1" fontId="0" fillId="33" borderId="18" xfId="0" applyNumberFormat="1" applyFill="1" applyBorder="1" applyAlignment="1">
      <alignment/>
    </xf>
    <xf numFmtId="3" fontId="8" fillId="33" borderId="0" xfId="0" applyNumberFormat="1" applyFont="1" applyFill="1" applyAlignment="1">
      <alignment/>
    </xf>
    <xf numFmtId="0" fontId="0" fillId="33" borderId="21" xfId="0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178" fontId="0" fillId="33" borderId="0" xfId="0" applyNumberFormat="1" applyFill="1" applyAlignment="1">
      <alignment/>
    </xf>
    <xf numFmtId="9" fontId="0" fillId="33" borderId="24" xfId="0" applyNumberFormat="1" applyFill="1" applyBorder="1" applyAlignment="1">
      <alignment horizontal="center"/>
    </xf>
    <xf numFmtId="9" fontId="0" fillId="33" borderId="18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ont="1" applyFill="1" applyAlignment="1">
      <alignment horizontal="right"/>
    </xf>
    <xf numFmtId="0" fontId="3" fillId="33" borderId="20" xfId="0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166" fontId="0" fillId="33" borderId="2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9" fontId="0" fillId="33" borderId="23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7" xfId="0" applyNumberFormat="1" applyFont="1" applyFill="1" applyBorder="1" applyAlignment="1">
      <alignment/>
    </xf>
    <xf numFmtId="9" fontId="0" fillId="33" borderId="14" xfId="0" applyNumberFormat="1" applyFill="1" applyBorder="1" applyAlignment="1">
      <alignment/>
    </xf>
    <xf numFmtId="1" fontId="0" fillId="0" borderId="19" xfId="0" applyNumberFormat="1" applyFont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Alignment="1">
      <alignment/>
    </xf>
    <xf numFmtId="9" fontId="3" fillId="0" borderId="0" xfId="0" applyNumberFormat="1" applyFont="1" applyAlignment="1">
      <alignment horizontal="right"/>
    </xf>
    <xf numFmtId="9" fontId="1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0" fontId="8" fillId="33" borderId="0" xfId="0" applyNumberFormat="1" applyFont="1" applyFill="1" applyAlignment="1">
      <alignment/>
    </xf>
    <xf numFmtId="166" fontId="11" fillId="33" borderId="11" xfId="0" applyNumberFormat="1" applyFont="1" applyFill="1" applyBorder="1" applyAlignment="1">
      <alignment/>
    </xf>
    <xf numFmtId="0" fontId="30" fillId="33" borderId="11" xfId="0" applyFont="1" applyFill="1" applyBorder="1" applyAlignment="1">
      <alignment/>
    </xf>
    <xf numFmtId="9" fontId="11" fillId="33" borderId="11" xfId="0" applyNumberFormat="1" applyFont="1" applyFill="1" applyBorder="1" applyAlignment="1">
      <alignment horizontal="right"/>
    </xf>
    <xf numFmtId="3" fontId="0" fillId="33" borderId="13" xfId="0" applyNumberFormat="1" applyFill="1" applyBorder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171" fontId="32" fillId="33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5" fillId="33" borderId="22" xfId="0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7" fillId="33" borderId="0" xfId="0" applyFont="1" applyFill="1" applyAlignment="1">
      <alignment/>
    </xf>
    <xf numFmtId="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3" fontId="4" fillId="33" borderId="34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0" fillId="33" borderId="0" xfId="0" applyNumberFormat="1" applyFont="1" applyFill="1" applyAlignment="1">
      <alignment horizontal="center"/>
    </xf>
    <xf numFmtId="3" fontId="0" fillId="0" borderId="20" xfId="0" applyNumberFormat="1" applyBorder="1" applyAlignment="1" applyProtection="1">
      <alignment/>
      <protection locked="0"/>
    </xf>
    <xf numFmtId="0" fontId="5" fillId="33" borderId="0" xfId="0" applyFont="1" applyFill="1" applyAlignment="1">
      <alignment horizontal="center"/>
    </xf>
    <xf numFmtId="0" fontId="2" fillId="33" borderId="24" xfId="0" applyFont="1" applyFill="1" applyBorder="1" applyAlignment="1">
      <alignment horizontal="left" indent="2"/>
    </xf>
    <xf numFmtId="0" fontId="2" fillId="33" borderId="18" xfId="0" applyFont="1" applyFill="1" applyBorder="1" applyAlignment="1">
      <alignment horizontal="left" indent="2"/>
    </xf>
    <xf numFmtId="0" fontId="2" fillId="33" borderId="0" xfId="0" applyFont="1" applyFill="1" applyAlignment="1">
      <alignment horizontal="left" indent="2"/>
    </xf>
    <xf numFmtId="0" fontId="11" fillId="33" borderId="13" xfId="0" applyFont="1" applyFill="1" applyBorder="1" applyAlignment="1">
      <alignment/>
    </xf>
    <xf numFmtId="166" fontId="11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30" fillId="33" borderId="14" xfId="0" applyFont="1" applyFill="1" applyBorder="1" applyAlignment="1">
      <alignment/>
    </xf>
    <xf numFmtId="9" fontId="11" fillId="33" borderId="14" xfId="0" applyNumberFormat="1" applyFont="1" applyFill="1" applyBorder="1" applyAlignment="1">
      <alignment/>
    </xf>
    <xf numFmtId="14" fontId="0" fillId="33" borderId="0" xfId="0" applyNumberFormat="1" applyFill="1" applyAlignment="1">
      <alignment/>
    </xf>
    <xf numFmtId="0" fontId="4" fillId="33" borderId="1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24" xfId="0" applyFont="1" applyFill="1" applyBorder="1" applyAlignment="1">
      <alignment horizontal="left" indent="2"/>
    </xf>
    <xf numFmtId="0" fontId="0" fillId="33" borderId="0" xfId="0" applyFont="1" applyFill="1" applyAlignment="1">
      <alignment horizontal="left" indent="2"/>
    </xf>
    <xf numFmtId="3" fontId="16" fillId="33" borderId="30" xfId="0" applyNumberFormat="1" applyFont="1" applyFill="1" applyBorder="1" applyAlignment="1">
      <alignment/>
    </xf>
    <xf numFmtId="3" fontId="22" fillId="33" borderId="22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7" fillId="0" borderId="0" xfId="0" applyFont="1" applyAlignment="1">
      <alignment/>
    </xf>
    <xf numFmtId="0" fontId="41" fillId="33" borderId="0" xfId="0" applyFont="1" applyFill="1" applyAlignment="1">
      <alignment/>
    </xf>
    <xf numFmtId="10" fontId="41" fillId="33" borderId="0" xfId="0" applyNumberFormat="1" applyFont="1" applyFill="1" applyAlignment="1">
      <alignment/>
    </xf>
    <xf numFmtId="3" fontId="41" fillId="33" borderId="0" xfId="0" applyNumberFormat="1" applyFont="1" applyFill="1" applyAlignment="1">
      <alignment/>
    </xf>
    <xf numFmtId="166" fontId="28" fillId="33" borderId="0" xfId="0" applyNumberFormat="1" applyFont="1" applyFill="1" applyAlignment="1">
      <alignment/>
    </xf>
    <xf numFmtId="13" fontId="28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10" fontId="42" fillId="33" borderId="0" xfId="0" applyNumberFormat="1" applyFont="1" applyFill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79" fontId="0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 horizontal="left"/>
    </xf>
    <xf numFmtId="3" fontId="0" fillId="33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0" fillId="33" borderId="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/>
      <protection/>
    </xf>
    <xf numFmtId="9" fontId="0" fillId="33" borderId="0" xfId="0" applyNumberForma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horizontal="center"/>
    </xf>
    <xf numFmtId="3" fontId="4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9" fontId="0" fillId="33" borderId="0" xfId="0" applyNumberFormat="1" applyFill="1" applyBorder="1" applyAlignment="1" applyProtection="1">
      <alignment/>
      <protection/>
    </xf>
    <xf numFmtId="3" fontId="3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9" fontId="21" fillId="33" borderId="0" xfId="0" applyNumberFormat="1" applyFont="1" applyFill="1" applyBorder="1" applyAlignment="1">
      <alignment horizontal="center"/>
    </xf>
    <xf numFmtId="176" fontId="0" fillId="33" borderId="0" xfId="0" applyNumberFormat="1" applyFill="1" applyBorder="1" applyAlignment="1">
      <alignment/>
    </xf>
    <xf numFmtId="0" fontId="8" fillId="33" borderId="0" xfId="0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0" fillId="0" borderId="19" xfId="0" applyNumberForma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16" fillId="33" borderId="32" xfId="0" applyNumberFormat="1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0" fontId="0" fillId="0" borderId="19" xfId="0" applyNumberFormat="1" applyFont="1" applyBorder="1" applyAlignment="1" applyProtection="1">
      <alignment horizontal="center"/>
      <protection locked="0"/>
    </xf>
    <xf numFmtId="11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  <xf numFmtId="14" fontId="3" fillId="33" borderId="0" xfId="0" applyNumberFormat="1" applyFont="1" applyFill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10" fontId="0" fillId="0" borderId="19" xfId="0" applyNumberFormat="1" applyFont="1" applyFill="1" applyBorder="1" applyAlignment="1" applyProtection="1">
      <alignment horizontal="center"/>
      <protection locked="0"/>
    </xf>
    <xf numFmtId="3" fontId="0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9" fontId="0" fillId="33" borderId="0" xfId="0" applyNumberForma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9" fontId="0" fillId="33" borderId="16" xfId="0" applyNumberForma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3" fontId="4" fillId="33" borderId="33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8</xdr:row>
      <xdr:rowOff>19050</xdr:rowOff>
    </xdr:from>
    <xdr:to>
      <xdr:col>17</xdr:col>
      <xdr:colOff>95250</xdr:colOff>
      <xdr:row>10</xdr:row>
      <xdr:rowOff>0</xdr:rowOff>
    </xdr:to>
    <xdr:sp>
      <xdr:nvSpPr>
        <xdr:cNvPr id="1" name="AutoShape 969"/>
        <xdr:cNvSpPr>
          <a:spLocks/>
        </xdr:cNvSpPr>
      </xdr:nvSpPr>
      <xdr:spPr>
        <a:xfrm>
          <a:off x="10115550" y="1314450"/>
          <a:ext cx="85725" cy="342900"/>
        </a:xfrm>
        <a:prstGeom prst="rightBrace">
          <a:avLst>
            <a:gd name="adj" fmla="val 21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16</xdr:row>
      <xdr:rowOff>95250</xdr:rowOff>
    </xdr:from>
    <xdr:to>
      <xdr:col>13</xdr:col>
      <xdr:colOff>609600</xdr:colOff>
      <xdr:row>16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8220075" y="2733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8</xdr:row>
      <xdr:rowOff>19050</xdr:rowOff>
    </xdr:from>
    <xdr:to>
      <xdr:col>17</xdr:col>
      <xdr:colOff>95250</xdr:colOff>
      <xdr:row>10</xdr:row>
      <xdr:rowOff>0</xdr:rowOff>
    </xdr:to>
    <xdr:sp>
      <xdr:nvSpPr>
        <xdr:cNvPr id="1" name="AutoShape 969"/>
        <xdr:cNvSpPr>
          <a:spLocks/>
        </xdr:cNvSpPr>
      </xdr:nvSpPr>
      <xdr:spPr>
        <a:xfrm>
          <a:off x="10391775" y="1314450"/>
          <a:ext cx="85725" cy="342900"/>
        </a:xfrm>
        <a:prstGeom prst="rightBrace">
          <a:avLst>
            <a:gd name="adj" fmla="val 21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16</xdr:row>
      <xdr:rowOff>95250</xdr:rowOff>
    </xdr:from>
    <xdr:to>
      <xdr:col>13</xdr:col>
      <xdr:colOff>609600</xdr:colOff>
      <xdr:row>16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8553450" y="2733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17</xdr:row>
      <xdr:rowOff>76200</xdr:rowOff>
    </xdr:from>
    <xdr:to>
      <xdr:col>6</xdr:col>
      <xdr:colOff>104775</xdr:colOff>
      <xdr:row>19</xdr:row>
      <xdr:rowOff>9525</xdr:rowOff>
    </xdr:to>
    <xdr:sp>
      <xdr:nvSpPr>
        <xdr:cNvPr id="1" name="AutoShape 13"/>
        <xdr:cNvSpPr>
          <a:spLocks/>
        </xdr:cNvSpPr>
      </xdr:nvSpPr>
      <xdr:spPr>
        <a:xfrm>
          <a:off x="3857625" y="28384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17</xdr:row>
      <xdr:rowOff>76200</xdr:rowOff>
    </xdr:from>
    <xdr:to>
      <xdr:col>6</xdr:col>
      <xdr:colOff>104775</xdr:colOff>
      <xdr:row>19</xdr:row>
      <xdr:rowOff>9525</xdr:rowOff>
    </xdr:to>
    <xdr:sp>
      <xdr:nvSpPr>
        <xdr:cNvPr id="1" name="AutoShape 13"/>
        <xdr:cNvSpPr>
          <a:spLocks/>
        </xdr:cNvSpPr>
      </xdr:nvSpPr>
      <xdr:spPr>
        <a:xfrm>
          <a:off x="3857625" y="28384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30</xdr:row>
      <xdr:rowOff>76200</xdr:rowOff>
    </xdr:from>
    <xdr:to>
      <xdr:col>5</xdr:col>
      <xdr:colOff>85725</xdr:colOff>
      <xdr:row>30</xdr:row>
      <xdr:rowOff>85725</xdr:rowOff>
    </xdr:to>
    <xdr:sp>
      <xdr:nvSpPr>
        <xdr:cNvPr id="1" name="Line 5"/>
        <xdr:cNvSpPr>
          <a:spLocks/>
        </xdr:cNvSpPr>
      </xdr:nvSpPr>
      <xdr:spPr>
        <a:xfrm>
          <a:off x="342900" y="4991100"/>
          <a:ext cx="4895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33</xdr:row>
      <xdr:rowOff>9525</xdr:rowOff>
    </xdr:from>
    <xdr:to>
      <xdr:col>5</xdr:col>
      <xdr:colOff>419100</xdr:colOff>
      <xdr:row>33</xdr:row>
      <xdr:rowOff>9525</xdr:rowOff>
    </xdr:to>
    <xdr:sp>
      <xdr:nvSpPr>
        <xdr:cNvPr id="1" name="Line 2"/>
        <xdr:cNvSpPr>
          <a:spLocks/>
        </xdr:cNvSpPr>
      </xdr:nvSpPr>
      <xdr:spPr>
        <a:xfrm>
          <a:off x="371475" y="5400675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B1">
      <selection activeCell="B1" sqref="B1"/>
    </sheetView>
  </sheetViews>
  <sheetFormatPr defaultColWidth="9.28125" defaultRowHeight="12.75"/>
  <cols>
    <col min="1" max="1" width="2.57421875" style="5" customWidth="1"/>
    <col min="2" max="2" width="12.7109375" style="5" customWidth="1"/>
    <col min="3" max="3" width="34.421875" style="5" customWidth="1"/>
    <col min="4" max="4" width="16.421875" style="5" customWidth="1"/>
    <col min="5" max="5" width="6.421875" style="5" customWidth="1"/>
    <col min="6" max="6" width="10.421875" style="5" customWidth="1"/>
    <col min="7" max="7" width="3.57421875" style="5" customWidth="1"/>
    <col min="8" max="8" width="4.421875" style="5" customWidth="1"/>
    <col min="9" max="9" width="9.28125" style="5" customWidth="1"/>
    <col min="10" max="10" width="10.28125" style="5" bestFit="1" customWidth="1"/>
    <col min="11" max="11" width="9.57421875" style="5" bestFit="1" customWidth="1"/>
    <col min="12" max="16384" width="9.28125" style="5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5.75">
      <c r="A2" s="4"/>
      <c r="B2" s="27" t="s">
        <v>0</v>
      </c>
      <c r="C2" s="4"/>
      <c r="D2" s="4"/>
      <c r="E2" s="4"/>
      <c r="F2" s="4"/>
      <c r="G2" s="4"/>
      <c r="H2" s="4"/>
    </row>
    <row r="3" spans="1:10" ht="12.75">
      <c r="A3" s="4"/>
      <c r="B3" s="4"/>
      <c r="C3" s="4"/>
      <c r="D3" s="4"/>
      <c r="E3" s="4"/>
      <c r="F3" s="4"/>
      <c r="G3" s="4"/>
      <c r="H3" s="4"/>
      <c r="I3" s="66"/>
      <c r="J3" s="66"/>
    </row>
    <row r="4" spans="1:11" s="6" customFormat="1" ht="15.75">
      <c r="A4" s="4"/>
      <c r="B4" s="28" t="s">
        <v>1</v>
      </c>
      <c r="C4" s="4"/>
      <c r="D4" s="4"/>
      <c r="E4" s="4"/>
      <c r="F4" s="26"/>
      <c r="G4" s="4"/>
      <c r="H4" s="4"/>
      <c r="I4" s="66"/>
      <c r="J4" s="66"/>
      <c r="K4" s="22"/>
    </row>
    <row r="5" spans="1:11" s="6" customFormat="1" ht="15.75">
      <c r="A5" s="4"/>
      <c r="B5" s="28"/>
      <c r="C5" s="4"/>
      <c r="D5" s="4"/>
      <c r="E5" s="4"/>
      <c r="F5" s="26"/>
      <c r="G5" s="4"/>
      <c r="H5" s="4"/>
      <c r="I5" s="66"/>
      <c r="J5" s="66"/>
      <c r="K5" s="22"/>
    </row>
    <row r="6" spans="1:11" ht="12.75">
      <c r="A6" s="4"/>
      <c r="B6" s="4" t="s">
        <v>2</v>
      </c>
      <c r="C6" s="2"/>
      <c r="D6" s="2" t="s">
        <v>3</v>
      </c>
      <c r="E6" s="4"/>
      <c r="F6" s="4"/>
      <c r="G6" s="58"/>
      <c r="H6" s="182"/>
      <c r="I6" s="66"/>
      <c r="J6" s="66"/>
      <c r="K6" s="22"/>
    </row>
    <row r="7" spans="1:10" ht="12.75">
      <c r="A7" s="4"/>
      <c r="B7" s="4" t="s">
        <v>4</v>
      </c>
      <c r="C7" s="2"/>
      <c r="D7" s="2" t="s">
        <v>5</v>
      </c>
      <c r="E7" s="283"/>
      <c r="F7" s="283"/>
      <c r="G7" s="58"/>
      <c r="H7" s="182"/>
      <c r="I7" s="66"/>
      <c r="J7" s="66"/>
    </row>
    <row r="8" spans="1:10" ht="12.75">
      <c r="A8" s="4"/>
      <c r="B8" s="4" t="s">
        <v>6</v>
      </c>
      <c r="C8" s="2"/>
      <c r="D8" s="2" t="s">
        <v>7</v>
      </c>
      <c r="E8" s="283"/>
      <c r="F8" s="283"/>
      <c r="G8" s="58"/>
      <c r="H8" s="182"/>
      <c r="I8" s="66"/>
      <c r="J8" s="66"/>
    </row>
    <row r="9" spans="1:10" ht="12.75">
      <c r="A9" s="4"/>
      <c r="B9" s="4" t="s">
        <v>8</v>
      </c>
      <c r="C9" s="2"/>
      <c r="D9" s="2" t="s">
        <v>9</v>
      </c>
      <c r="E9" s="4"/>
      <c r="F9" s="4"/>
      <c r="G9" s="58"/>
      <c r="H9" s="21"/>
      <c r="I9" s="66"/>
      <c r="J9" s="66"/>
    </row>
    <row r="10" spans="1:8" ht="12.75">
      <c r="A10" s="4"/>
      <c r="B10" s="4" t="s">
        <v>8</v>
      </c>
      <c r="C10" s="2"/>
      <c r="D10" s="2" t="s">
        <v>10</v>
      </c>
      <c r="E10" s="4"/>
      <c r="F10" s="4"/>
      <c r="G10" s="58"/>
      <c r="H10" s="21"/>
    </row>
    <row r="11" spans="1:8" ht="12.75">
      <c r="A11" s="4"/>
      <c r="B11" s="4"/>
      <c r="C11" s="2"/>
      <c r="D11" s="2"/>
      <c r="E11" s="4"/>
      <c r="F11" s="4"/>
      <c r="G11" s="58"/>
      <c r="H11" s="4"/>
    </row>
    <row r="12" spans="1:8" ht="12.75">
      <c r="A12" s="4"/>
      <c r="B12" s="4"/>
      <c r="C12" s="2"/>
      <c r="D12" s="2"/>
      <c r="E12" s="4"/>
      <c r="F12" s="4"/>
      <c r="G12" s="4"/>
      <c r="H12" s="4"/>
    </row>
    <row r="13" spans="1:11" s="6" customFormat="1" ht="15.75">
      <c r="A13" s="4"/>
      <c r="B13" s="28" t="s">
        <v>11</v>
      </c>
      <c r="C13" s="4"/>
      <c r="D13" s="4"/>
      <c r="E13" s="4"/>
      <c r="F13" s="4"/>
      <c r="G13" s="4"/>
      <c r="H13" s="4"/>
      <c r="I13" s="5"/>
      <c r="J13" s="5"/>
      <c r="K13" s="5"/>
    </row>
    <row r="14" spans="1:8" ht="12.75">
      <c r="A14" s="4"/>
      <c r="B14" s="1"/>
      <c r="C14" s="4"/>
      <c r="D14" s="4"/>
      <c r="E14" s="4"/>
      <c r="F14" s="4"/>
      <c r="G14" s="4"/>
      <c r="H14" s="4"/>
    </row>
    <row r="15" spans="1:9" ht="12.75">
      <c r="A15" s="4"/>
      <c r="B15" s="7" t="s">
        <v>12</v>
      </c>
      <c r="C15" s="8"/>
      <c r="D15" s="8"/>
      <c r="E15" s="8"/>
      <c r="F15" s="8"/>
      <c r="G15" s="9"/>
      <c r="H15" s="4"/>
      <c r="I15" s="97"/>
    </row>
    <row r="16" spans="1:8" ht="12.75">
      <c r="A16" s="4"/>
      <c r="B16" s="3" t="s">
        <v>13</v>
      </c>
      <c r="C16" s="4"/>
      <c r="D16" s="4"/>
      <c r="E16" s="4"/>
      <c r="F16" s="4"/>
      <c r="G16" s="4"/>
      <c r="H16" s="4"/>
    </row>
    <row r="17" spans="1:8" ht="12.75">
      <c r="A17" s="4"/>
      <c r="B17" s="45" t="s">
        <v>14</v>
      </c>
      <c r="C17" s="95"/>
      <c r="D17" s="95"/>
      <c r="E17" s="95"/>
      <c r="F17" s="95"/>
      <c r="G17" s="95"/>
      <c r="H17" s="4"/>
    </row>
    <row r="18" spans="1:8" ht="12.75">
      <c r="A18" s="4"/>
      <c r="B18" s="45" t="s">
        <v>15</v>
      </c>
      <c r="C18" s="95"/>
      <c r="D18" s="95"/>
      <c r="E18" s="95"/>
      <c r="F18" s="95"/>
      <c r="G18" s="95"/>
      <c r="H18" s="4"/>
    </row>
    <row r="19" spans="1:8" ht="12.75">
      <c r="A19" s="4"/>
      <c r="B19" s="45" t="s">
        <v>16</v>
      </c>
      <c r="C19" s="95"/>
      <c r="D19" s="95"/>
      <c r="E19" s="95"/>
      <c r="F19" s="95"/>
      <c r="G19" s="95"/>
      <c r="H19" s="4"/>
    </row>
    <row r="20" spans="1:8" ht="12.75">
      <c r="A20" s="4"/>
      <c r="B20" s="45" t="s">
        <v>17</v>
      </c>
      <c r="C20" s="95"/>
      <c r="D20" s="95"/>
      <c r="E20" s="95"/>
      <c r="F20" s="95"/>
      <c r="G20" s="95"/>
      <c r="H20" s="4"/>
    </row>
    <row r="21" spans="1:8" ht="12.75">
      <c r="A21" s="4"/>
      <c r="B21" s="4"/>
      <c r="C21" s="95"/>
      <c r="D21" s="95"/>
      <c r="E21" s="95"/>
      <c r="F21" s="95"/>
      <c r="G21" s="95"/>
      <c r="H21" s="4"/>
    </row>
    <row r="22" spans="1:8" ht="12.75">
      <c r="A22" s="4"/>
      <c r="B22" s="4" t="s">
        <v>18</v>
      </c>
      <c r="C22" s="95"/>
      <c r="D22" s="95"/>
      <c r="E22" s="95"/>
      <c r="F22" s="95"/>
      <c r="G22" s="95"/>
      <c r="H22" s="4"/>
    </row>
    <row r="23" spans="1:8" ht="12.75">
      <c r="A23" s="4"/>
      <c r="B23" s="4" t="s">
        <v>19</v>
      </c>
      <c r="C23" s="95"/>
      <c r="D23" s="95"/>
      <c r="E23" s="95"/>
      <c r="F23" s="95"/>
      <c r="G23" s="95"/>
      <c r="H23" s="4"/>
    </row>
    <row r="24" spans="1:8" ht="12.75">
      <c r="A24" s="4"/>
      <c r="B24" s="4"/>
      <c r="C24" s="95"/>
      <c r="D24" s="95"/>
      <c r="E24" s="95"/>
      <c r="F24" s="95"/>
      <c r="G24" s="95"/>
      <c r="H24" s="4"/>
    </row>
    <row r="25" spans="1:8" ht="12.75">
      <c r="A25" s="4"/>
      <c r="B25" s="47" t="s">
        <v>20</v>
      </c>
      <c r="C25" s="311"/>
      <c r="D25" s="311"/>
      <c r="E25" s="311"/>
      <c r="F25" s="11"/>
      <c r="G25" s="12"/>
      <c r="H25" s="4"/>
    </row>
    <row r="26" spans="1:8" ht="12.75">
      <c r="A26" s="4"/>
      <c r="B26" s="312" t="s">
        <v>21</v>
      </c>
      <c r="C26" s="313"/>
      <c r="D26" s="313"/>
      <c r="E26" s="313"/>
      <c r="F26" s="13"/>
      <c r="G26" s="14"/>
      <c r="H26" s="4"/>
    </row>
    <row r="27" spans="1:8" ht="12.75">
      <c r="A27" s="4"/>
      <c r="B27" s="1"/>
      <c r="C27" s="4"/>
      <c r="D27" s="4"/>
      <c r="E27" s="4"/>
      <c r="F27" s="4"/>
      <c r="G27" s="4"/>
      <c r="H27" s="4"/>
    </row>
    <row r="28" spans="1:8" ht="12.75">
      <c r="A28" s="4"/>
      <c r="B28" s="4" t="s">
        <v>22</v>
      </c>
      <c r="C28" s="4"/>
      <c r="D28" s="4"/>
      <c r="E28" s="4"/>
      <c r="F28" s="4"/>
      <c r="G28" s="4"/>
      <c r="H28" s="4"/>
    </row>
    <row r="29" spans="1:8" ht="12.75">
      <c r="A29" s="4"/>
      <c r="B29" s="4" t="s">
        <v>23</v>
      </c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11" ht="12.75">
      <c r="A31" s="4"/>
      <c r="B31" s="3"/>
      <c r="C31" s="4"/>
      <c r="D31" s="4"/>
      <c r="E31" s="4"/>
      <c r="F31" s="4"/>
      <c r="G31" s="4"/>
      <c r="H31" s="4"/>
      <c r="K31" s="22"/>
    </row>
    <row r="32" spans="1:11" ht="12.75">
      <c r="A32" s="4"/>
      <c r="B32" s="47" t="s">
        <v>24</v>
      </c>
      <c r="C32" s="311"/>
      <c r="D32" s="311"/>
      <c r="E32" s="311"/>
      <c r="F32" s="311"/>
      <c r="G32" s="12"/>
      <c r="H32" s="4"/>
      <c r="K32" s="22"/>
    </row>
    <row r="33" spans="1:11" ht="12.75">
      <c r="A33" s="4"/>
      <c r="B33" s="314" t="s">
        <v>25</v>
      </c>
      <c r="C33" s="45"/>
      <c r="D33" s="45"/>
      <c r="E33" s="45"/>
      <c r="F33" s="45"/>
      <c r="G33" s="53"/>
      <c r="H33" s="4"/>
      <c r="K33" s="22"/>
    </row>
    <row r="34" spans="1:11" ht="12.75">
      <c r="A34" s="4"/>
      <c r="B34" s="15" t="s">
        <v>26</v>
      </c>
      <c r="C34" s="313"/>
      <c r="D34" s="313"/>
      <c r="E34" s="313"/>
      <c r="F34" s="313"/>
      <c r="G34" s="14"/>
      <c r="H34" s="4"/>
      <c r="K34" s="22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24" t="s">
        <v>170</v>
      </c>
      <c r="C36" s="4"/>
      <c r="D36" s="4"/>
      <c r="E36" s="4"/>
      <c r="F36" s="4"/>
      <c r="G36" s="4"/>
      <c r="H36" s="4"/>
    </row>
    <row r="37" spans="1:8" ht="12.75">
      <c r="A37" s="4"/>
      <c r="B37" s="315"/>
      <c r="C37" s="4"/>
      <c r="D37" s="4"/>
      <c r="E37" s="4"/>
      <c r="F37" s="4"/>
      <c r="G37" s="4"/>
      <c r="H37" s="4"/>
    </row>
    <row r="38" spans="1:8" ht="12.75">
      <c r="A38" s="4"/>
      <c r="B38" s="45"/>
      <c r="C38" s="4"/>
      <c r="D38" s="4"/>
      <c r="E38" s="4"/>
      <c r="F38" s="4"/>
      <c r="G38" s="4"/>
      <c r="H38" s="4"/>
    </row>
    <row r="39" spans="1:8" ht="12.75">
      <c r="A39" s="4"/>
      <c r="B39" s="3"/>
      <c r="C39" s="4"/>
      <c r="D39" s="4"/>
      <c r="E39" s="4"/>
      <c r="F39" s="4"/>
      <c r="G39" s="4"/>
      <c r="H39" s="4"/>
    </row>
    <row r="40" spans="1:11" ht="12.75">
      <c r="A40" s="4"/>
      <c r="B40" s="3"/>
      <c r="C40" s="4"/>
      <c r="D40" s="4"/>
      <c r="E40" s="4"/>
      <c r="F40" s="4"/>
      <c r="G40" s="4"/>
      <c r="H40" s="4"/>
      <c r="I40" s="22"/>
      <c r="K40" s="22"/>
    </row>
    <row r="41" spans="1:11" ht="12.75">
      <c r="A41" s="4"/>
      <c r="B41" s="3"/>
      <c r="C41" s="4"/>
      <c r="D41" s="4"/>
      <c r="E41" s="4"/>
      <c r="F41" s="4"/>
      <c r="G41" s="4"/>
      <c r="H41" s="4"/>
      <c r="I41" s="22"/>
      <c r="K41" s="22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3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54" t="s">
        <v>27</v>
      </c>
      <c r="C50" s="55">
        <f>SUM(Basbelopp!F10)</f>
        <v>45365</v>
      </c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79" t="s">
        <v>172</v>
      </c>
    </row>
  </sheetData>
  <sheetProtection password="C248" sheet="1"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zoomScale="81" zoomScaleNormal="81" zoomScalePageLayoutView="0" workbookViewId="0" topLeftCell="A1">
      <selection activeCell="G1" sqref="G1"/>
    </sheetView>
  </sheetViews>
  <sheetFormatPr defaultColWidth="9.140625" defaultRowHeight="12.75"/>
  <cols>
    <col min="1" max="1" width="7.7109375" style="0" customWidth="1"/>
    <col min="3" max="3" width="15.28125" style="0" customWidth="1"/>
    <col min="4" max="4" width="10.7109375" style="0" customWidth="1"/>
    <col min="5" max="5" width="2.28125" style="0" customWidth="1"/>
    <col min="7" max="7" width="8.8515625" style="0" customWidth="1"/>
    <col min="8" max="8" width="8.7109375" style="0" customWidth="1"/>
    <col min="9" max="9" width="6.57421875" style="0" customWidth="1"/>
    <col min="10" max="10" width="8.28125" style="0" customWidth="1"/>
    <col min="16" max="16" width="10.00390625" style="0" bestFit="1" customWidth="1"/>
  </cols>
  <sheetData>
    <row r="1" spans="1:30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0"/>
      <c r="N1" s="17"/>
      <c r="O1" s="17"/>
      <c r="P1" s="17"/>
      <c r="Q1" s="17"/>
      <c r="R1" s="17"/>
      <c r="S1" s="339"/>
      <c r="T1" s="333"/>
      <c r="U1" s="333"/>
      <c r="V1" s="333"/>
      <c r="W1" s="17"/>
      <c r="X1" s="17"/>
      <c r="Y1" s="17"/>
      <c r="Z1" s="17"/>
      <c r="AA1" s="17"/>
      <c r="AB1" s="17"/>
      <c r="AC1" s="17"/>
      <c r="AD1" s="17"/>
    </row>
    <row r="2" spans="1:30" ht="12.75">
      <c r="A2" s="45" t="s">
        <v>28</v>
      </c>
      <c r="B2" s="17"/>
      <c r="C2" s="395"/>
      <c r="D2" s="396"/>
      <c r="E2" s="396"/>
      <c r="F2" s="397"/>
      <c r="G2" s="17"/>
      <c r="H2" s="358"/>
      <c r="I2" s="17"/>
      <c r="J2" s="17"/>
      <c r="K2" s="17"/>
      <c r="L2" s="17"/>
      <c r="M2" s="17"/>
      <c r="N2" s="17"/>
      <c r="O2" s="17"/>
      <c r="P2" s="17"/>
      <c r="Q2" s="17"/>
      <c r="R2" s="17"/>
      <c r="S2" s="333"/>
      <c r="T2" s="333"/>
      <c r="U2" s="333"/>
      <c r="V2" s="333"/>
      <c r="W2" s="17"/>
      <c r="X2" s="17"/>
      <c r="Y2" s="17"/>
      <c r="Z2" s="17"/>
      <c r="AA2" s="17"/>
      <c r="AB2" s="17"/>
      <c r="AC2" s="17"/>
      <c r="AD2" s="17"/>
    </row>
    <row r="3" spans="1:30" ht="12.75">
      <c r="A3" s="17"/>
      <c r="B3" s="17"/>
      <c r="C3" s="17"/>
      <c r="D3" s="17"/>
      <c r="E3" s="17"/>
      <c r="F3" s="17"/>
      <c r="G3" s="17"/>
      <c r="H3" s="358"/>
      <c r="I3" s="17"/>
      <c r="J3" s="17"/>
      <c r="K3" s="17"/>
      <c r="L3" s="17"/>
      <c r="M3" s="17"/>
      <c r="N3" s="17"/>
      <c r="O3" s="17"/>
      <c r="P3" s="17"/>
      <c r="Q3" s="17"/>
      <c r="R3" s="17"/>
      <c r="S3" s="333"/>
      <c r="T3" s="333"/>
      <c r="U3" s="333"/>
      <c r="V3" s="333"/>
      <c r="W3" s="60"/>
      <c r="X3" s="17"/>
      <c r="Y3" s="17"/>
      <c r="Z3" s="17"/>
      <c r="AA3" s="17"/>
      <c r="AB3" s="17"/>
      <c r="AC3" s="17"/>
      <c r="AD3" s="17"/>
    </row>
    <row r="4" spans="1:30" ht="12.75">
      <c r="A4" s="45" t="s">
        <v>29</v>
      </c>
      <c r="B4" s="17"/>
      <c r="C4" s="398"/>
      <c r="D4" s="399"/>
      <c r="E4" s="399"/>
      <c r="F4" s="400"/>
      <c r="G4" s="17"/>
      <c r="H4" s="17"/>
      <c r="I4" s="17"/>
      <c r="J4" s="17"/>
      <c r="K4" s="17"/>
      <c r="L4" s="17" t="s">
        <v>32</v>
      </c>
      <c r="M4" s="17"/>
      <c r="N4" s="44"/>
      <c r="O4" s="92" t="s">
        <v>33</v>
      </c>
      <c r="P4" s="92"/>
      <c r="Q4" s="51"/>
      <c r="R4" s="44"/>
      <c r="S4" s="333"/>
      <c r="T4" s="333"/>
      <c r="U4" s="333"/>
      <c r="V4" s="333"/>
      <c r="W4" s="60"/>
      <c r="X4" s="71"/>
      <c r="Y4" s="17"/>
      <c r="Z4" s="17"/>
      <c r="AA4" s="17"/>
      <c r="AB4" s="17"/>
      <c r="AC4" s="17"/>
      <c r="AD4" s="17"/>
    </row>
    <row r="5" spans="1:3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75">
        <v>2008</v>
      </c>
      <c r="M5" s="88">
        <v>0.2</v>
      </c>
      <c r="N5" s="44"/>
      <c r="O5" s="44" t="s">
        <v>34</v>
      </c>
      <c r="P5" s="44"/>
      <c r="Q5" s="91">
        <f>SUM(F12)</f>
        <v>0</v>
      </c>
      <c r="R5" s="44"/>
      <c r="S5" s="332"/>
      <c r="T5" s="333"/>
      <c r="U5" s="340"/>
      <c r="V5" s="333"/>
      <c r="W5" s="60"/>
      <c r="X5" s="17"/>
      <c r="Y5" s="17"/>
      <c r="Z5" s="17"/>
      <c r="AA5" s="17"/>
      <c r="AB5" s="17"/>
      <c r="AC5" s="17"/>
      <c r="AD5" s="17"/>
    </row>
    <row r="6" spans="1:30" ht="12.75">
      <c r="A6" s="45" t="s">
        <v>30</v>
      </c>
      <c r="B6" s="17"/>
      <c r="C6" s="398"/>
      <c r="D6" s="399"/>
      <c r="E6" s="399"/>
      <c r="F6" s="400"/>
      <c r="G6" s="17"/>
      <c r="H6" s="17"/>
      <c r="I6" s="17"/>
      <c r="J6" s="17"/>
      <c r="K6" s="17"/>
      <c r="L6" s="77">
        <v>2009</v>
      </c>
      <c r="M6" s="89">
        <v>0.4</v>
      </c>
      <c r="N6" s="44"/>
      <c r="O6" s="44" t="s">
        <v>36</v>
      </c>
      <c r="P6" s="44"/>
      <c r="Q6" s="91">
        <f>IF(Q5=0,0,Q5+65)</f>
        <v>0</v>
      </c>
      <c r="R6" s="44"/>
      <c r="S6" s="333"/>
      <c r="T6" s="333"/>
      <c r="U6" s="333"/>
      <c r="V6" s="333"/>
      <c r="W6" s="60"/>
      <c r="X6" s="17"/>
      <c r="Y6" s="17"/>
      <c r="Z6" s="17"/>
      <c r="AA6" s="17"/>
      <c r="AB6" s="17"/>
      <c r="AC6" s="17"/>
      <c r="AD6" s="17"/>
    </row>
    <row r="7" spans="1:30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77">
        <v>2010</v>
      </c>
      <c r="M7" s="89">
        <v>0.6</v>
      </c>
      <c r="N7" s="44"/>
      <c r="O7" s="44" t="s">
        <v>39</v>
      </c>
      <c r="P7" s="44"/>
      <c r="Q7" s="91">
        <f>SUM(F11)</f>
        <v>0</v>
      </c>
      <c r="R7" s="44"/>
      <c r="S7" s="333"/>
      <c r="T7" s="333"/>
      <c r="U7" s="341"/>
      <c r="V7" s="333"/>
      <c r="W7" s="60"/>
      <c r="X7" s="71"/>
      <c r="Y7" s="17"/>
      <c r="Z7" s="17"/>
      <c r="AA7" s="17"/>
      <c r="AB7" s="17"/>
      <c r="AC7" s="17"/>
      <c r="AD7" s="17"/>
    </row>
    <row r="8" spans="1:40" ht="12.75">
      <c r="A8" s="81" t="s">
        <v>31</v>
      </c>
      <c r="B8" s="81"/>
      <c r="C8" s="17"/>
      <c r="D8" s="81"/>
      <c r="E8" s="81"/>
      <c r="F8" s="17"/>
      <c r="G8" s="17"/>
      <c r="H8" s="17"/>
      <c r="I8" s="17"/>
      <c r="J8" s="17"/>
      <c r="K8" s="17"/>
      <c r="L8" s="77">
        <v>2011</v>
      </c>
      <c r="M8" s="89">
        <v>0.8</v>
      </c>
      <c r="N8" s="44"/>
      <c r="O8" s="44" t="s">
        <v>41</v>
      </c>
      <c r="P8" s="44"/>
      <c r="Q8" s="91">
        <f>SUM(F13)</f>
        <v>30</v>
      </c>
      <c r="R8" s="44"/>
      <c r="S8" s="333"/>
      <c r="T8" s="333"/>
      <c r="U8" s="342"/>
      <c r="V8" s="333"/>
      <c r="W8" s="334"/>
      <c r="X8" s="4"/>
      <c r="Y8" s="17"/>
      <c r="Z8" s="81"/>
      <c r="AA8" s="17"/>
      <c r="AB8" s="17"/>
      <c r="AC8" s="17"/>
      <c r="AD8" s="17"/>
      <c r="AF8" s="104"/>
      <c r="AG8" s="106"/>
      <c r="AH8" s="107"/>
      <c r="AI8" s="108"/>
      <c r="AJ8" s="109"/>
      <c r="AK8" s="110"/>
      <c r="AL8" s="110"/>
      <c r="AM8" s="110"/>
      <c r="AN8" s="110"/>
    </row>
    <row r="9" spans="1:42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78">
        <v>2012</v>
      </c>
      <c r="M9" s="90">
        <v>1</v>
      </c>
      <c r="N9" s="44"/>
      <c r="O9" s="93" t="s">
        <v>44</v>
      </c>
      <c r="P9" s="93"/>
      <c r="Q9" s="94">
        <f>IF(Q7+Q8&gt;=Q6,Q6,Q7+Q8-1)</f>
        <v>0</v>
      </c>
      <c r="R9" s="44"/>
      <c r="S9" s="333"/>
      <c r="T9" s="331"/>
      <c r="U9" s="333"/>
      <c r="V9" s="332"/>
      <c r="W9" s="17"/>
      <c r="X9" s="17"/>
      <c r="Y9" s="17"/>
      <c r="Z9" s="17"/>
      <c r="AA9" s="17"/>
      <c r="AB9" s="17"/>
      <c r="AC9" s="17"/>
      <c r="AD9" s="17"/>
      <c r="AH9" s="107"/>
      <c r="AI9" s="110"/>
      <c r="AJ9" s="111"/>
      <c r="AK9" s="110"/>
      <c r="AL9" s="110"/>
      <c r="AM9" s="110"/>
      <c r="AN9" s="110"/>
      <c r="AP9" s="112"/>
    </row>
    <row r="10" spans="1:45" ht="15.75">
      <c r="A10" s="17" t="s">
        <v>35</v>
      </c>
      <c r="B10" s="17"/>
      <c r="C10" s="17"/>
      <c r="D10" s="17"/>
      <c r="E10" s="17"/>
      <c r="F10" s="73"/>
      <c r="G10" s="59"/>
      <c r="H10" s="17"/>
      <c r="I10" s="17"/>
      <c r="J10" s="17"/>
      <c r="K10" s="17"/>
      <c r="L10" s="26"/>
      <c r="M10" s="17"/>
      <c r="N10" s="44"/>
      <c r="O10" s="93" t="s">
        <v>46</v>
      </c>
      <c r="P10" s="93"/>
      <c r="Q10" s="94">
        <f>IF(Q9-Q7&gt;=Q8,Q7,Q9-Q8+1)</f>
        <v>-29</v>
      </c>
      <c r="R10" s="49">
        <f>SUM(Q9-Q10+1)</f>
        <v>30</v>
      </c>
      <c r="S10" s="333"/>
      <c r="T10" s="343"/>
      <c r="U10" s="344"/>
      <c r="V10" s="336"/>
      <c r="W10" s="17"/>
      <c r="X10" s="17"/>
      <c r="Y10" s="17"/>
      <c r="Z10" s="59"/>
      <c r="AA10" s="17"/>
      <c r="AB10" s="17"/>
      <c r="AC10" s="17"/>
      <c r="AD10" s="17"/>
      <c r="AF10" s="104"/>
      <c r="AG10" s="106"/>
      <c r="AH10" s="107"/>
      <c r="AI10" s="110"/>
      <c r="AJ10" s="111"/>
      <c r="AK10" s="110"/>
      <c r="AL10" s="110"/>
      <c r="AM10" s="110"/>
      <c r="AN10" s="110"/>
      <c r="AS10" s="104"/>
    </row>
    <row r="11" spans="1:45" ht="12.75">
      <c r="A11" s="17" t="s">
        <v>37</v>
      </c>
      <c r="B11" s="17"/>
      <c r="C11" s="17"/>
      <c r="D11" s="17"/>
      <c r="E11" s="17"/>
      <c r="F11" s="73"/>
      <c r="G11" s="82" t="s">
        <v>38</v>
      </c>
      <c r="H11" s="199">
        <f>IF(F11=0,0,LOOKUP(F11,Basbelopp!A4:A66,Basbelopp!B4:B66)*7.5)</f>
        <v>0</v>
      </c>
      <c r="I11" s="57"/>
      <c r="J11" s="17"/>
      <c r="K11" s="17"/>
      <c r="L11" s="17"/>
      <c r="M11" s="17"/>
      <c r="N11" s="17"/>
      <c r="O11" s="17"/>
      <c r="P11" s="17"/>
      <c r="Q11" s="17"/>
      <c r="R11" s="17"/>
      <c r="S11" s="333"/>
      <c r="T11" s="333"/>
      <c r="U11" s="336"/>
      <c r="V11" s="345"/>
      <c r="W11" s="17"/>
      <c r="X11" s="17"/>
      <c r="Y11" s="17"/>
      <c r="Z11" s="59"/>
      <c r="AA11" s="54"/>
      <c r="AB11" s="57"/>
      <c r="AC11" s="17"/>
      <c r="AD11" s="17"/>
      <c r="AF11" s="104"/>
      <c r="AG11" s="113"/>
      <c r="AH11" s="107"/>
      <c r="AI11" s="110"/>
      <c r="AJ11" s="111"/>
      <c r="AL11" s="110"/>
      <c r="AM11" s="110"/>
      <c r="AN11" s="110"/>
      <c r="AS11" s="104"/>
    </row>
    <row r="12" spans="1:45" ht="12.75">
      <c r="A12" s="17" t="s">
        <v>40</v>
      </c>
      <c r="B12" s="17"/>
      <c r="C12" s="17"/>
      <c r="D12" s="17"/>
      <c r="E12" s="17"/>
      <c r="F12" s="73"/>
      <c r="G12" s="83" t="s">
        <v>36</v>
      </c>
      <c r="H12" s="84">
        <f>SUM(F12+65)</f>
        <v>65</v>
      </c>
      <c r="I12" s="114"/>
      <c r="J12" s="17"/>
      <c r="K12" s="17"/>
      <c r="L12" s="17"/>
      <c r="M12" s="333"/>
      <c r="N12" s="37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59"/>
      <c r="AA12" s="54"/>
      <c r="AB12" s="114"/>
      <c r="AC12" s="17"/>
      <c r="AD12" s="17"/>
      <c r="AF12" s="104"/>
      <c r="AG12" s="106"/>
      <c r="AH12" s="107"/>
      <c r="AI12" s="110"/>
      <c r="AJ12" s="111"/>
      <c r="AK12" s="115"/>
      <c r="AL12" s="110"/>
      <c r="AM12" s="110"/>
      <c r="AN12" s="110"/>
      <c r="AS12" s="104"/>
    </row>
    <row r="13" spans="1:45" ht="12.75">
      <c r="A13" s="17" t="s">
        <v>42</v>
      </c>
      <c r="B13" s="17"/>
      <c r="C13" s="17"/>
      <c r="D13" s="17"/>
      <c r="E13" s="17"/>
      <c r="F13" s="67">
        <v>30</v>
      </c>
      <c r="G13" s="85" t="s">
        <v>43</v>
      </c>
      <c r="H13" s="86">
        <f>IF(F13="","",Q10)</f>
        <v>-29</v>
      </c>
      <c r="I13" s="86"/>
      <c r="J13" s="87">
        <f>IF(F13="","",Q9)</f>
        <v>0</v>
      </c>
      <c r="K13" s="17"/>
      <c r="L13" s="368" t="s">
        <v>167</v>
      </c>
      <c r="M13" s="99"/>
      <c r="N13" s="99"/>
      <c r="O13" s="370">
        <f>IF(F18="","",SUM(V13-S13))</f>
      </c>
      <c r="P13" s="370">
        <f>IF(F18="","",SUM(V13-S13))</f>
      </c>
      <c r="Q13" s="369"/>
      <c r="R13" s="369"/>
      <c r="S13" s="370">
        <f>IF(AND(F18&lt;F16-H11,F16&gt;H11),F18*68%,IF(F16&lt;H11,0,IF(F18&gt;H11,(F16-H11)*68%,((F16-H11)*68%))))</f>
        <v>0</v>
      </c>
      <c r="T13" s="369"/>
      <c r="U13" s="369"/>
      <c r="V13" s="220">
        <f>IF(AND(F18&lt;F16-H11,F16&gt;H11),F18*68%,IF(F18="",0,IF(F16&lt;H11,F18*13%,IF(F18&gt;H11,((F16-H11)*68%)+((F18-(F16-H11))*13%),SUM((F18-(F16-H11))*13%)+((F16-H11)*68%)))))</f>
        <v>0</v>
      </c>
      <c r="W13" s="17"/>
      <c r="X13" s="17"/>
      <c r="Y13" s="17"/>
      <c r="Z13" s="59"/>
      <c r="AA13" s="26"/>
      <c r="AB13" s="54"/>
      <c r="AC13" s="335"/>
      <c r="AD13" s="17"/>
      <c r="AF13" s="104"/>
      <c r="AG13" s="106"/>
      <c r="AH13" s="107"/>
      <c r="AI13" s="116"/>
      <c r="AJ13" s="117"/>
      <c r="AK13" s="110"/>
      <c r="AL13" s="110"/>
      <c r="AM13" s="110"/>
      <c r="AN13" s="110"/>
      <c r="AS13" s="118"/>
    </row>
    <row r="14" spans="1:45" ht="12.75">
      <c r="A14" s="45" t="s">
        <v>45</v>
      </c>
      <c r="B14" s="17"/>
      <c r="C14" s="17"/>
      <c r="D14" s="17"/>
      <c r="E14" s="17"/>
      <c r="F14" s="119"/>
      <c r="G14" s="62"/>
      <c r="H14" s="49">
        <f>SUM(H11)</f>
        <v>0</v>
      </c>
      <c r="I14" s="44">
        <f>MAX(F14-H14,0)</f>
        <v>0</v>
      </c>
      <c r="J14" s="44"/>
      <c r="K14" s="17"/>
      <c r="L14" s="264" t="s">
        <v>85</v>
      </c>
      <c r="M14" s="228"/>
      <c r="N14" s="228"/>
      <c r="O14" s="212">
        <f>IF(F18="","",SUM(P13/30))</f>
      </c>
      <c r="P14" s="212">
        <f>IF(F18="","",SUM(P13/30))</f>
      </c>
      <c r="Q14" s="212"/>
      <c r="R14" s="212"/>
      <c r="S14" s="212">
        <f>IF(F18="","",SUM(S13/30))</f>
      </c>
      <c r="T14" s="212"/>
      <c r="U14" s="212"/>
      <c r="V14" s="229">
        <f>IF(F18="","",SUM(V13/30))</f>
      </c>
      <c r="W14" s="60"/>
      <c r="X14" s="17"/>
      <c r="Y14" s="17"/>
      <c r="Z14" s="62"/>
      <c r="AA14" s="49"/>
      <c r="AB14" s="44"/>
      <c r="AC14" s="17"/>
      <c r="AD14" s="17"/>
      <c r="AH14" s="107"/>
      <c r="AI14" s="116"/>
      <c r="AJ14" s="117"/>
      <c r="AK14" s="120"/>
      <c r="AL14" s="110"/>
      <c r="AM14" s="110"/>
      <c r="AN14" s="110"/>
      <c r="AS14" s="104"/>
    </row>
    <row r="15" spans="1:45" ht="12.75">
      <c r="A15" s="45" t="s">
        <v>47</v>
      </c>
      <c r="B15" s="17"/>
      <c r="C15" s="17"/>
      <c r="D15" s="17"/>
      <c r="E15" s="17"/>
      <c r="F15" s="17"/>
      <c r="G15" s="62"/>
      <c r="H15" s="49">
        <f>SUM(H11)</f>
        <v>0</v>
      </c>
      <c r="I15" s="44">
        <f>MAX(F18-H15,0)</f>
        <v>0</v>
      </c>
      <c r="J15" s="44"/>
      <c r="K15" s="17"/>
      <c r="L15" s="368" t="s">
        <v>167</v>
      </c>
      <c r="M15" s="99" t="s">
        <v>168</v>
      </c>
      <c r="N15" s="99"/>
      <c r="O15" s="375">
        <f>SUM(D27)</f>
        <v>0</v>
      </c>
      <c r="P15" s="370">
        <f>IF(F18="","",SUM(V15-S15))</f>
      </c>
      <c r="Q15" s="99"/>
      <c r="R15" s="99"/>
      <c r="S15" s="370">
        <f>IF(AND(F18&lt;F16-H11,F16&gt;H11),F18*$D$30,IF(F16&lt;H11,0,IF(F18&gt;H11,(F16-H11)*$D$30,((F16-H11)*D30))))</f>
        <v>0</v>
      </c>
      <c r="T15" s="99"/>
      <c r="U15" s="99"/>
      <c r="V15" s="220">
        <f>IF(AND(F18&lt;F16-H11,F16&gt;H11),F18*$D$30,IF(F18="",0,IF(F16&lt;H11,F18*$D$29,IF(F18&gt;H11,((F16-H11)*$D$30)+((F18-(F16-H11))*$D$29),SUM((F18-(F16-H11))*$D$29)+((F16-H11)*$D$30)))))</f>
        <v>0</v>
      </c>
      <c r="W15" s="17"/>
      <c r="X15" s="17"/>
      <c r="Y15" s="17"/>
      <c r="Z15" s="62"/>
      <c r="AA15" s="49"/>
      <c r="AB15" s="44"/>
      <c r="AC15" s="17"/>
      <c r="AD15" s="17"/>
      <c r="AH15" s="107"/>
      <c r="AI15" s="110"/>
      <c r="AJ15" s="110"/>
      <c r="AK15" s="110"/>
      <c r="AL15" s="110"/>
      <c r="AM15" s="110"/>
      <c r="AN15" s="110"/>
      <c r="AO15" s="112"/>
      <c r="AR15" s="112"/>
      <c r="AS15" s="118"/>
    </row>
    <row r="16" spans="1:43" ht="13.5" thickBot="1">
      <c r="A16" s="17" t="s">
        <v>48</v>
      </c>
      <c r="B16" s="17"/>
      <c r="C16" s="17"/>
      <c r="D16" s="17"/>
      <c r="E16" s="17"/>
      <c r="F16" s="119"/>
      <c r="G16" s="62"/>
      <c r="H16" s="49">
        <f>SUM(H11)</f>
        <v>0</v>
      </c>
      <c r="I16" s="44">
        <f>MAX(F16-H16,0)</f>
        <v>0</v>
      </c>
      <c r="J16" s="44"/>
      <c r="K16" s="17"/>
      <c r="L16" s="264" t="s">
        <v>85</v>
      </c>
      <c r="M16" s="228"/>
      <c r="N16" s="228"/>
      <c r="O16" s="228"/>
      <c r="P16" s="212">
        <f>IF(F18="",0,SUM(P15/30))</f>
        <v>0</v>
      </c>
      <c r="Q16" s="212"/>
      <c r="R16" s="212"/>
      <c r="S16" s="212">
        <f>SUM(S15/30)</f>
        <v>0</v>
      </c>
      <c r="T16" s="212"/>
      <c r="U16" s="212"/>
      <c r="V16" s="229">
        <f>SUM(V15/30)</f>
        <v>0</v>
      </c>
      <c r="W16" s="17"/>
      <c r="X16" s="17"/>
      <c r="Y16" s="17"/>
      <c r="Z16" s="62"/>
      <c r="AA16" s="49"/>
      <c r="AB16" s="44"/>
      <c r="AC16" s="17"/>
      <c r="AD16" s="17"/>
      <c r="AH16" s="107"/>
      <c r="AI16" s="110"/>
      <c r="AJ16" s="121"/>
      <c r="AK16" s="110"/>
      <c r="AL16" s="110"/>
      <c r="AM16" s="110"/>
      <c r="AN16" s="110"/>
      <c r="AQ16" s="112"/>
    </row>
    <row r="17" spans="1:45" ht="12.75">
      <c r="A17" s="17" t="s">
        <v>49</v>
      </c>
      <c r="B17" s="17"/>
      <c r="C17" s="17"/>
      <c r="D17" s="17"/>
      <c r="E17" s="17"/>
      <c r="F17" s="122"/>
      <c r="G17" s="44">
        <f>IF(F17="","",F16*F17)</f>
      </c>
      <c r="H17" s="17"/>
      <c r="I17" s="17"/>
      <c r="J17" s="17"/>
      <c r="K17" s="17"/>
      <c r="L17" s="372" t="s">
        <v>47</v>
      </c>
      <c r="M17" s="351"/>
      <c r="N17" s="333"/>
      <c r="O17" s="333" t="s">
        <v>50</v>
      </c>
      <c r="P17" s="352">
        <f>IF(D28="",4.5%,D28)</f>
        <v>0.045</v>
      </c>
      <c r="Q17" s="333"/>
      <c r="R17" s="333"/>
      <c r="S17" s="352">
        <f>IF(D28="",4.5%,D28)</f>
        <v>0.045</v>
      </c>
      <c r="T17" s="333"/>
      <c r="U17" s="333"/>
      <c r="V17" s="373" t="s">
        <v>51</v>
      </c>
      <c r="W17" s="124" t="s">
        <v>52</v>
      </c>
      <c r="X17" s="125"/>
      <c r="Y17" s="126"/>
      <c r="Z17" s="126"/>
      <c r="AA17" s="129">
        <f>IF(D22="",4.5%,D22)</f>
        <v>0.045</v>
      </c>
      <c r="AB17" s="126"/>
      <c r="AC17" s="126"/>
      <c r="AD17" s="129">
        <f>IF(D22="",4.5%,D22)</f>
        <v>0.045</v>
      </c>
      <c r="AE17" s="126"/>
      <c r="AF17" s="126"/>
      <c r="AG17" s="128" t="s">
        <v>53</v>
      </c>
      <c r="AH17" s="124" t="s">
        <v>54</v>
      </c>
      <c r="AI17" s="125"/>
      <c r="AJ17" s="126"/>
      <c r="AK17" s="126"/>
      <c r="AL17" s="129">
        <f>IF(D34="",4.5%,D34)</f>
        <v>0.045</v>
      </c>
      <c r="AM17" s="126"/>
      <c r="AN17" s="126"/>
      <c r="AO17" s="130">
        <f>IF(D34="",4.5%,D34)</f>
        <v>0.045</v>
      </c>
      <c r="AP17" s="126"/>
      <c r="AQ17" s="126"/>
      <c r="AR17" s="131" t="s">
        <v>55</v>
      </c>
      <c r="AS17" s="17"/>
    </row>
    <row r="18" spans="1:45" ht="12.75">
      <c r="A18" s="17" t="s">
        <v>166</v>
      </c>
      <c r="B18" s="17"/>
      <c r="C18" s="17"/>
      <c r="D18" s="17"/>
      <c r="E18" s="17"/>
      <c r="F18" s="360"/>
      <c r="G18" s="62"/>
      <c r="H18" s="17"/>
      <c r="I18" s="17"/>
      <c r="J18" s="17"/>
      <c r="K18" s="17"/>
      <c r="L18" s="132"/>
      <c r="M18" s="351"/>
      <c r="N18" s="333"/>
      <c r="O18" s="333" t="s">
        <v>56</v>
      </c>
      <c r="P18" s="352">
        <f>SUM(D29)</f>
        <v>0.13</v>
      </c>
      <c r="Q18" s="333"/>
      <c r="R18" s="333"/>
      <c r="S18" s="352">
        <f>SUM(D30)</f>
        <v>0.68</v>
      </c>
      <c r="T18" s="333"/>
      <c r="U18" s="333"/>
      <c r="V18" s="141" t="s">
        <v>57</v>
      </c>
      <c r="W18" s="136"/>
      <c r="X18" s="137"/>
      <c r="Y18" s="17"/>
      <c r="Z18" s="17"/>
      <c r="AA18" s="138">
        <f>SUM(D23)</f>
        <v>0.13</v>
      </c>
      <c r="AB18" s="17"/>
      <c r="AC18" s="51"/>
      <c r="AD18" s="139">
        <f>SUM(D24)</f>
        <v>0.68</v>
      </c>
      <c r="AE18" s="17"/>
      <c r="AF18" s="17"/>
      <c r="AG18" s="135" t="s">
        <v>57</v>
      </c>
      <c r="AH18" s="136"/>
      <c r="AI18" s="137"/>
      <c r="AJ18" s="17"/>
      <c r="AK18" s="17"/>
      <c r="AL18" s="134">
        <f>SUM(D35)</f>
        <v>0.13</v>
      </c>
      <c r="AM18" s="17"/>
      <c r="AN18" s="51"/>
      <c r="AO18" s="140">
        <f>SUM(D36)</f>
        <v>0.68</v>
      </c>
      <c r="AP18" s="17"/>
      <c r="AQ18" s="17"/>
      <c r="AR18" s="141" t="s">
        <v>57</v>
      </c>
      <c r="AS18" s="17"/>
    </row>
    <row r="19" spans="1:45" ht="12.75">
      <c r="A19" s="17" t="s">
        <v>58</v>
      </c>
      <c r="B19" s="17"/>
      <c r="C19" s="17"/>
      <c r="D19" s="17"/>
      <c r="E19" s="17"/>
      <c r="F19" s="119"/>
      <c r="G19" s="17"/>
      <c r="H19" s="142">
        <f>SUM(H11)</f>
        <v>0</v>
      </c>
      <c r="I19" s="137">
        <f>MAX(F19-H19,0)</f>
        <v>0</v>
      </c>
      <c r="J19" s="17"/>
      <c r="K19" s="17"/>
      <c r="L19" s="143" t="s">
        <v>59</v>
      </c>
      <c r="M19" s="353"/>
      <c r="N19" s="354" t="s">
        <v>60</v>
      </c>
      <c r="O19" s="355">
        <f>SUM(F17)</f>
        <v>0</v>
      </c>
      <c r="P19" s="356">
        <f>SUM(D29)</f>
        <v>0.13</v>
      </c>
      <c r="Q19" s="354" t="s">
        <v>61</v>
      </c>
      <c r="R19" s="355" t="s">
        <v>62</v>
      </c>
      <c r="S19" s="356">
        <f>SUM(D30)</f>
        <v>0.68</v>
      </c>
      <c r="T19" s="357" t="s">
        <v>63</v>
      </c>
      <c r="U19" s="354" t="s">
        <v>64</v>
      </c>
      <c r="V19" s="151" t="s">
        <v>65</v>
      </c>
      <c r="W19" s="147" t="s">
        <v>59</v>
      </c>
      <c r="X19" s="133"/>
      <c r="Y19" s="148" t="s">
        <v>66</v>
      </c>
      <c r="Z19" s="149" t="s">
        <v>50</v>
      </c>
      <c r="AA19" s="150">
        <f>SUM(D23)</f>
        <v>0.13</v>
      </c>
      <c r="AB19" s="96" t="s">
        <v>67</v>
      </c>
      <c r="AC19" s="144" t="s">
        <v>68</v>
      </c>
      <c r="AD19" s="145">
        <f>SUM(D24)</f>
        <v>0.68</v>
      </c>
      <c r="AE19" s="96" t="s">
        <v>63</v>
      </c>
      <c r="AF19" s="96" t="s">
        <v>64</v>
      </c>
      <c r="AG19" s="146" t="s">
        <v>65</v>
      </c>
      <c r="AH19" s="147" t="s">
        <v>59</v>
      </c>
      <c r="AI19" s="133"/>
      <c r="AJ19" s="148" t="s">
        <v>66</v>
      </c>
      <c r="AK19" s="149" t="s">
        <v>50</v>
      </c>
      <c r="AL19" s="150">
        <f>SUM(D35)</f>
        <v>0.13</v>
      </c>
      <c r="AM19" s="96" t="s">
        <v>67</v>
      </c>
      <c r="AN19" s="144" t="s">
        <v>68</v>
      </c>
      <c r="AO19" s="145">
        <f>SUM(D36)</f>
        <v>0.68</v>
      </c>
      <c r="AP19" s="96" t="s">
        <v>63</v>
      </c>
      <c r="AQ19" s="96" t="s">
        <v>64</v>
      </c>
      <c r="AR19" s="151" t="s">
        <v>65</v>
      </c>
      <c r="AS19" s="148"/>
    </row>
    <row r="20" spans="1:45" ht="12.75">
      <c r="A20" s="17"/>
      <c r="B20" s="17"/>
      <c r="C20" s="17"/>
      <c r="D20" s="58" t="s">
        <v>69</v>
      </c>
      <c r="E20" s="17"/>
      <c r="F20" s="17"/>
      <c r="G20" s="17"/>
      <c r="H20" s="17"/>
      <c r="I20" s="17"/>
      <c r="J20" s="17"/>
      <c r="K20" s="17"/>
      <c r="L20" s="132">
        <f>IF(F12=0,"",SUM(Q6-F13+1))</f>
      </c>
      <c r="M20" s="351">
        <f aca="true" t="shared" si="0" ref="M20:M48">IF(L20="","",IF(L20=$F$10,"1:a Inkf",IF(L20=$F$11,"fastst.år","")))</f>
      </c>
      <c r="N20" s="331">
        <f aca="true" t="shared" si="1" ref="N20:N49">IF(L20="","",IF(AND($F$18="",$F$16=""),"",IF(L20&lt;$H$13,"",IF($F$16&gt;0,IF(L20&lt;$F$10,$F$14,IF($F$16&gt;$H$11,$H$11,$F$16)),IF($F$18&gt;0,IF(L20&lt;$F$10,$F$18,IF($F$18&gt;$H$11,$H$11,$F$18)))))))</f>
      </c>
      <c r="O20" s="358">
        <f aca="true" t="shared" si="2" ref="O20:O49">IF(L20&lt;$D$27,IF(N20="","",IF(L20&lt;$F$10,N20*0.13/30,IF($O$19="",$F$16*0.13/30,IF($F$18&gt;0,MAX(($F$18-$I$16)*0.13/30,0),((F$16*$F$17)-$I$16)*0.13/30)))),0)</f>
        <v>0</v>
      </c>
      <c r="P20" s="358">
        <f aca="true" t="shared" si="3" ref="P20:P49">IF($D$27&gt;L20,0,IF($F$16="","",IF(L20&lt;$F$10,0,IF($F$18&gt;0,$P$16,MAX(IF($D$27&gt;L20,0,($G$17-$I$16)*$P$18/30),0)))))</f>
      </c>
      <c r="Q20" s="331">
        <f>IF(G$17&lt;($F$16-$H$11),$G$17,IF(L20="","",IF(AND($F$18="",$F$16=""),"",(IF(L20&lt;$H$13,"",IF($F$16&gt;0,IF(L20&lt;$F$10,0,IF($F$16&gt;$H$11,$F$16-$H$11,0)),IF($F$18&gt;0,IF(L20&lt;$F$10,0,IF($F$18&gt;$H$11,$F$18-$H$11,0)))))))))</f>
      </c>
      <c r="R20" s="349">
        <f aca="true" t="shared" si="4" ref="R20:R49">IF(L20&lt;$D$27,IF(Q20="","",IF(L20&lt;$F$10,0,IF($F$18&gt;$I$16,$I$16*0.68/30,IF($F$18&gt;0,IF($F$16&gt;$H$11,$F$18*0.68/30,Q20*0.68/30),Q20*0.68/30)))),0)</f>
        <v>0</v>
      </c>
      <c r="S20" s="349">
        <f aca="true" t="shared" si="5" ref="S20:S49">IF(L20&gt;=$D$27,IF(Q20="","",IF(L20&lt;$F$10,0,IF($F$18&gt;$I$16,$I$16*$S$18/30,IF($F$18&gt;0,IF($F$16&gt;$H$11,$F$18*$S$18/30,Q20*$S$18/30),Q20*$S$18/30)))),0)</f>
      </c>
      <c r="T20" s="153">
        <f>IF(Q20="","",IF(L20&lt;2008,13%,LOOKUP(L20,$L$5:$L$9,$M$5:M$9)))</f>
      </c>
      <c r="U20" s="154">
        <f>IF(Q20="","",IF(T20=13%,Q20*T20/30,(R20+S20)*T20))</f>
      </c>
      <c r="V20" s="316">
        <f>IF(L20&lt;$F$10,0,IF(N20="","",SUM(O20+P20+U20)))</f>
      </c>
      <c r="W20" s="155">
        <f>IF(L20="","",L20)</f>
      </c>
      <c r="X20" s="137">
        <f aca="true" t="shared" si="6" ref="X20:X48">IF(W20="","",IF(L20=$F$10,"1:a Inkf",IF(L20=$F$11,"fastst.år","")))</f>
      </c>
      <c r="Y20" s="60">
        <f aca="true" t="shared" si="7" ref="Y20:Y49">IF(W20="","",IF(W20&lt;$H$13,"",IF(W20&lt;$F$10,$F$14,IF($F$14&gt;$H$11,$H$11,$F$14))))</f>
      </c>
      <c r="Z20" s="152">
        <f aca="true" t="shared" si="8" ref="Z20:Z49">IF(L20&lt;$D$21,IF(W20="","",IF(Y20=0,0,IF(W20&lt;$F$10,Y20*0.13/30,IF($F$14&gt;0,(($F$14-$I$14)*0.13/30),(($F$18-$I$16)*0.13/30))))),0)</f>
        <v>0</v>
      </c>
      <c r="AA20" s="152">
        <f aca="true" t="shared" si="9" ref="AA20:AA49">IF(L20&gt;=$D$21,IF(W20="","",IF(Y20=0,0,IF(W20&lt;$F$10,Y20*$D$23/30,IF($F$14&gt;0,(($F$14-$I$14)*$D$23/30),(($F$18-$I$16)*$D$23/30))))),0)</f>
      </c>
      <c r="AB20" s="60">
        <f aca="true" t="shared" si="10" ref="AB20:AB49">IF(W20="","",IF(Y20=0,0,IF(W20&lt;$F$10,0,IF($F$14&gt;0,IF($F$14&gt;$H$11,$F$14-$H$11,0),IF($F$18&gt;$H$11,$F$18-$H$11,0)))))</f>
      </c>
      <c r="AC20" s="60">
        <f aca="true" t="shared" si="11" ref="AC20:AC49">IF(L20&lt;$D$21,IF(W20="","",IF(Y20=0,0,IF(W20&lt;$F$10,0,IF($I$14&gt;0,$I$14*0.68/30,$I$14*0.68/30)))),0)</f>
        <v>0</v>
      </c>
      <c r="AD20" s="60">
        <f>IF(L20&gt;=$D$21,IF(W20="","",IF(Y20=0,0,IF(W20&lt;$F$10,0,IF($I$14&gt;0,$I$14*$D$24/30,$I$14*$D$24/30)))),0)</f>
      </c>
      <c r="AE20" s="153">
        <f>IF(Y20="","",IF(W20&lt;2008,13%,LOOKUP(W20,$L$5:$L$9,$M$5:$M$9)))</f>
      </c>
      <c r="AF20" s="152">
        <f>IF(Y20="","",IF(AE20=13%,AB20*AE20/30,(AC20+AD20)*AE20))</f>
      </c>
      <c r="AG20" s="60">
        <f>IF(W20&lt;$F$10,0,IF(Y20="","",SUM(Z20+AA20+AF20)))</f>
      </c>
      <c r="AH20" s="155">
        <f>IF(W20="","",W20)</f>
      </c>
      <c r="AI20" s="137">
        <f aca="true" t="shared" si="12" ref="AI20:AI48">IF(AH20="","",IF(W20=$F$10,"1:a Inkf",IF(W20=$F$11,"fastst.år","")))</f>
      </c>
      <c r="AJ20" s="60">
        <f>IF(AH20&lt;$F$10,0,IF(AH20="","",IF(AH20&lt;$H$13,"",IF(AH20&lt;$F$10,$F$14,IF($F$19&gt;$H$11,$H$11,$F$19)))))</f>
      </c>
      <c r="AK20" s="152">
        <f>IF(AH20&lt;$F$10,0,IF(AH20&lt;$D$33,IF(AH20="","",IF(AJ20=0,0,IF(AH20&lt;$F$10,AJ20*0.13/30,IF($F$19&gt;0,(($F$19-$I$19)*0.13/30),(($F$18-$I$19)*0.13/30))))),0))</f>
        <v>0</v>
      </c>
      <c r="AL20" s="152">
        <f>IF(AH20&lt;$F$10,0,IF(AH20&gt;=$D$33,IF(AH20="","",IF(AJ20=0,0,IF(AH20&lt;$F$10,AJ20*$D$35/30,IF($F$19&gt;0,(($F$19-$I$19)*$D$35/30),(($F$18-$I$19)*$D$35/30))))),0))</f>
      </c>
      <c r="AM20" s="60">
        <f>IF(AH20&lt;$F$10,0,IF(AH20="","",IF(AJ20=0,0,IF(AH20&lt;$F$10,0,IF($F$19&gt;0,IF($F$19&gt;$H$11,$F$19-$H$11,0),IF($F$18&gt;$H$11,$F$18-$H$11,0))))))</f>
      </c>
      <c r="AN20" s="60">
        <f>IF(AH20&lt;$F$10,0,IF(AH20&lt;$D$33,IF(AH20="","",IF(AJ20=0,0,IF(AH20&lt;$F$10,0,IF($I$19&gt;0,$I$19*0.68/30,$I$19*0.68/30)))),0))</f>
        <v>0</v>
      </c>
      <c r="AO20" s="156">
        <f>IF(AH20&gt;=$D$33,IF(AH20="","",IF(AJ20=0,0,IF(AH20&lt;$F$10,0,IF($I$19&gt;0,$I$19*$D$36/30,$I$19*$D$36/30)))),0)</f>
      </c>
      <c r="AP20" s="153">
        <f aca="true" t="shared" si="13" ref="AP20:AP49">IF(AH20&lt;$F$10,0,IF(AJ20="","",IF(AH20&lt;2008,13%,LOOKUP(AH20,$L$5:$L$9,$M$5:$M$9))))</f>
      </c>
      <c r="AQ20" s="152">
        <f>IF(AH20&lt;$F$10,0,IF(AJ20="","",IF(AP20=13%,AM20*AP20/30,(AN20+AO20)*AP20)))</f>
      </c>
      <c r="AR20" s="157">
        <f>IF(AH20&lt;$F$10,0,IF(AJ20="","",SUM(AK20+AL20+AQ20)))</f>
      </c>
      <c r="AS20" s="60">
        <v>1</v>
      </c>
    </row>
    <row r="21" spans="1:45" ht="12.75">
      <c r="A21" s="17" t="s">
        <v>70</v>
      </c>
      <c r="B21" s="17"/>
      <c r="C21" s="26"/>
      <c r="D21" s="158"/>
      <c r="E21" s="159"/>
      <c r="F21" s="17"/>
      <c r="G21" s="17"/>
      <c r="H21" s="17"/>
      <c r="I21" s="17"/>
      <c r="J21" s="17"/>
      <c r="K21" s="17"/>
      <c r="L21" s="132">
        <f aca="true" t="shared" si="14" ref="L21:L50">IF(L20&lt;$Q$6,L20+1,"")</f>
      </c>
      <c r="M21" s="351">
        <f t="shared" si="0"/>
      </c>
      <c r="N21" s="331">
        <f t="shared" si="1"/>
      </c>
      <c r="O21" s="358">
        <f t="shared" si="2"/>
        <v>0</v>
      </c>
      <c r="P21" s="358">
        <f t="shared" si="3"/>
      </c>
      <c r="Q21" s="331">
        <f aca="true" t="shared" si="15" ref="Q21:Q49">IF(G$17&lt;($F$16-$H$11),$G$17,IF(L21="","",IF(AND($F$18="",$F$16=""),"",(IF(L21&lt;$H$13,"",IF($F$16&gt;0,IF(L21&lt;$F$10,0,IF($F$16&gt;$H$11,$F$16-$H$11,0)),IF($F$18&gt;0,IF(L21&lt;$F$10,0,IF($F$18&gt;$H$11,$F$18-$H$11,0)))))))))</f>
      </c>
      <c r="R21" s="349">
        <f t="shared" si="4"/>
        <v>0</v>
      </c>
      <c r="S21" s="349">
        <f t="shared" si="5"/>
      </c>
      <c r="T21" s="153">
        <f>IF(Q21="","",IF(L21&gt;$F$11,T20,IF(L21&lt;2008,13%,LOOKUP(L21,$L$5:$L$9,$M$5:M$9))))</f>
      </c>
      <c r="U21" s="154">
        <f>IF(Q21="","",IF(T21=13%,Q21*T21/30,(R21+S21)*T21))</f>
      </c>
      <c r="V21" s="316">
        <f aca="true" t="shared" si="16" ref="V21:V49">IF(L21&lt;$F$10,0,IF(N21="","",SUM(O21+P21+U21)))</f>
      </c>
      <c r="W21" s="155">
        <f aca="true" t="shared" si="17" ref="W21:W49">IF(L21="","",L21)</f>
      </c>
      <c r="X21" s="137">
        <f t="shared" si="6"/>
      </c>
      <c r="Y21" s="60">
        <f t="shared" si="7"/>
      </c>
      <c r="Z21" s="152">
        <f t="shared" si="8"/>
        <v>0</v>
      </c>
      <c r="AA21" s="152">
        <f t="shared" si="9"/>
      </c>
      <c r="AB21" s="60">
        <f t="shared" si="10"/>
      </c>
      <c r="AC21" s="60">
        <f t="shared" si="11"/>
        <v>0</v>
      </c>
      <c r="AD21" s="60">
        <f aca="true" t="shared" si="18" ref="AD21:AD49">IF(L21&gt;=$D$21,IF(W21="","",IF(Y21=0,0,IF(W21&lt;$F$10,0,IF($I$14&gt;0,$I$14*$D$24/30,$I$14*$D$24/30)))),0)</f>
      </c>
      <c r="AE21" s="153">
        <f>IF(Y21="","",IF(L21&gt;$F$11,AE20,IF(W21&lt;2008,13%,LOOKUP(W21,$L$5:$L$9,$M$5:M$9))))</f>
      </c>
      <c r="AF21" s="152">
        <f aca="true" t="shared" si="19" ref="AF21:AF49">IF(Y21="","",IF(AE21=13%,AB21*AE21/30,(AC21+AD21)*AE21))</f>
      </c>
      <c r="AG21" s="60">
        <f aca="true" t="shared" si="20" ref="AG21:AG49">IF(W21&lt;$F$10,0,IF(Y21="","",SUM(Z21+AA21+AF21)))</f>
      </c>
      <c r="AH21" s="155">
        <f aca="true" t="shared" si="21" ref="AH21:AH49">IF(W21="","",W21)</f>
      </c>
      <c r="AI21" s="137">
        <f t="shared" si="12"/>
      </c>
      <c r="AJ21" s="60">
        <f aca="true" t="shared" si="22" ref="AJ21:AJ49">IF(AH21&lt;$F$10,0,IF(AH21="","",IF(AH21&lt;$H$13,"",IF(AH21&lt;$F$10,$F$14,IF($F$19&gt;$H$11,$H$11,$F$19)))))</f>
      </c>
      <c r="AK21" s="152">
        <f aca="true" t="shared" si="23" ref="AK21:AK49">IF(AH21&lt;$F$10,0,IF(AH21&lt;$D$33,IF(AH21="","",IF(AJ21=0,0,IF(AH21&lt;$F$10,AJ21*0.13/30,IF($F$19&gt;0,(($F$19-$I$19)*0.13/30),(($F$18-$I$19)*0.13/30))))),0))</f>
        <v>0</v>
      </c>
      <c r="AL21" s="152">
        <f aca="true" t="shared" si="24" ref="AL21:AL49">IF(AH21&lt;$F$10,0,IF(AH21&gt;=$D$33,IF(AH21="","",IF(AJ21=0,0,IF(AH21&lt;$F$10,AJ21*$D$35/30,IF($F$19&gt;0,(($F$19-$I$19)*$D$35/30),(($F$18-$I$19)*$D$35/30))))),0))</f>
      </c>
      <c r="AM21" s="60">
        <f aca="true" t="shared" si="25" ref="AM21:AM49">IF(AH21&lt;$F$10,0,IF(AH21="","",IF(AJ21=0,0,IF(AH21&lt;$F$10,0,IF($F$19&gt;0,IF($F$19&gt;$H$11,$F$19-$H$11,0),IF($F$18&gt;$H$11,$F$18-$H$11,0))))))</f>
      </c>
      <c r="AN21" s="60">
        <f aca="true" t="shared" si="26" ref="AN21:AN49">IF(AH21&lt;$F$10,0,IF(AH21&lt;$D$33,IF(AH21="","",IF(AJ21=0,0,IF(AH21&lt;$F$10,0,IF($I$19&gt;0,$I$19*0.68/30,$I$19*0.68/30)))),0))</f>
        <v>0</v>
      </c>
      <c r="AO21" s="156">
        <f aca="true" t="shared" si="27" ref="AO21:AO49">IF(AH21&gt;=$D$33,IF(AH21="","",IF(AJ21=0,0,IF(AH21&lt;$F$10,0,IF($I$19&gt;0,$I$19*$D$36/30,$I$19*$D$36/30)))),0)</f>
      </c>
      <c r="AP21" s="153">
        <f t="shared" si="13"/>
      </c>
      <c r="AQ21" s="152">
        <f aca="true" t="shared" si="28" ref="AQ21:AQ49">IF(AH21&lt;$F$10,0,IF(AJ21="","",IF(AP21=13%,AM21*AP21/30,(AN21+AO21)*AP21)))</f>
      </c>
      <c r="AR21" s="157">
        <f aca="true" t="shared" si="29" ref="AR21:AR49">IF(AH21&lt;$F$10,0,IF(AJ21="","",SUM(AK21+AL21+AQ21)))</f>
      </c>
      <c r="AS21" s="60">
        <v>2</v>
      </c>
    </row>
    <row r="22" spans="1:45" ht="12.75">
      <c r="A22" s="17" t="s">
        <v>71</v>
      </c>
      <c r="B22" s="17"/>
      <c r="C22" s="26"/>
      <c r="D22" s="160"/>
      <c r="E22" s="17"/>
      <c r="F22" s="17"/>
      <c r="G22" s="17"/>
      <c r="H22" s="17"/>
      <c r="I22" s="17"/>
      <c r="J22" s="17"/>
      <c r="K22" s="17"/>
      <c r="L22" s="132">
        <f t="shared" si="14"/>
      </c>
      <c r="M22" s="351">
        <f t="shared" si="0"/>
      </c>
      <c r="N22" s="331">
        <f t="shared" si="1"/>
      </c>
      <c r="O22" s="358">
        <f t="shared" si="2"/>
        <v>0</v>
      </c>
      <c r="P22" s="358">
        <f t="shared" si="3"/>
      </c>
      <c r="Q22" s="331">
        <f t="shared" si="15"/>
      </c>
      <c r="R22" s="349">
        <f t="shared" si="4"/>
        <v>0</v>
      </c>
      <c r="S22" s="349">
        <f t="shared" si="5"/>
      </c>
      <c r="T22" s="153">
        <f>IF(Q22="","",IF(L22&gt;$F$11,T21,IF(L22&lt;2008,13%,LOOKUP(L22,$L$5:$L$9,$M$5:M$9))))</f>
      </c>
      <c r="U22" s="154">
        <f>IF(Q22="","",IF(T22=13%,Q22*T22/30,(R22+S22)*T22))</f>
      </c>
      <c r="V22" s="316">
        <f t="shared" si="16"/>
      </c>
      <c r="W22" s="155">
        <f t="shared" si="17"/>
      </c>
      <c r="X22" s="137">
        <f t="shared" si="6"/>
      </c>
      <c r="Y22" s="60">
        <f t="shared" si="7"/>
      </c>
      <c r="Z22" s="152">
        <f t="shared" si="8"/>
        <v>0</v>
      </c>
      <c r="AA22" s="152">
        <f t="shared" si="9"/>
      </c>
      <c r="AB22" s="60">
        <f t="shared" si="10"/>
      </c>
      <c r="AC22" s="60">
        <f t="shared" si="11"/>
        <v>0</v>
      </c>
      <c r="AD22" s="60">
        <f t="shared" si="18"/>
      </c>
      <c r="AE22" s="153">
        <f>IF(Y22="","",IF(L22&gt;$F$11,AE21,IF(W22&lt;2008,13%,LOOKUP(W22,$L$5:$L$9,$M$5:M$9))))</f>
      </c>
      <c r="AF22" s="152">
        <f t="shared" si="19"/>
      </c>
      <c r="AG22" s="60">
        <f t="shared" si="20"/>
      </c>
      <c r="AH22" s="155">
        <f t="shared" si="21"/>
      </c>
      <c r="AI22" s="137">
        <f t="shared" si="12"/>
      </c>
      <c r="AJ22" s="60">
        <f t="shared" si="22"/>
      </c>
      <c r="AK22" s="152">
        <f t="shared" si="23"/>
        <v>0</v>
      </c>
      <c r="AL22" s="152">
        <f t="shared" si="24"/>
      </c>
      <c r="AM22" s="60">
        <f t="shared" si="25"/>
      </c>
      <c r="AN22" s="60">
        <f t="shared" si="26"/>
        <v>0</v>
      </c>
      <c r="AO22" s="156">
        <f t="shared" si="27"/>
      </c>
      <c r="AP22" s="153">
        <f t="shared" si="13"/>
      </c>
      <c r="AQ22" s="152">
        <f t="shared" si="28"/>
      </c>
      <c r="AR22" s="157">
        <f t="shared" si="29"/>
      </c>
      <c r="AS22" s="60">
        <v>3</v>
      </c>
    </row>
    <row r="23" spans="1:45" ht="12.75">
      <c r="A23" s="17"/>
      <c r="B23" s="17"/>
      <c r="C23" s="161" t="s">
        <v>66</v>
      </c>
      <c r="D23" s="162">
        <f>IF(D22="",ROUND(4.5%*13/4.5,2),ROUND(D22*13/4.5,2))</f>
        <v>0.13</v>
      </c>
      <c r="E23" s="17"/>
      <c r="F23" s="17"/>
      <c r="G23" s="17"/>
      <c r="H23" s="17"/>
      <c r="I23" s="17"/>
      <c r="J23" s="17"/>
      <c r="K23" s="17"/>
      <c r="L23" s="132">
        <f t="shared" si="14"/>
      </c>
      <c r="M23" s="351">
        <f t="shared" si="0"/>
      </c>
      <c r="N23" s="331">
        <f t="shared" si="1"/>
      </c>
      <c r="O23" s="358">
        <f t="shared" si="2"/>
        <v>0</v>
      </c>
      <c r="P23" s="358">
        <f t="shared" si="3"/>
      </c>
      <c r="Q23" s="331">
        <f t="shared" si="15"/>
      </c>
      <c r="R23" s="349">
        <f t="shared" si="4"/>
        <v>0</v>
      </c>
      <c r="S23" s="349">
        <f t="shared" si="5"/>
      </c>
      <c r="T23" s="153">
        <f>IF(Q23="","",IF(L23&gt;$F$11,T22,IF(L23&lt;2008,13%,LOOKUP(L23,$L$5:$L$9,$M$5:M$9))))</f>
      </c>
      <c r="U23" s="154">
        <f>IF(Q23="","",IF(T23=13%,Q23*T23/30,(R23+S23)*T23))</f>
      </c>
      <c r="V23" s="316">
        <f t="shared" si="16"/>
      </c>
      <c r="W23" s="155">
        <f t="shared" si="17"/>
      </c>
      <c r="X23" s="137">
        <f t="shared" si="6"/>
      </c>
      <c r="Y23" s="60">
        <f t="shared" si="7"/>
      </c>
      <c r="Z23" s="152">
        <f t="shared" si="8"/>
        <v>0</v>
      </c>
      <c r="AA23" s="152">
        <f t="shared" si="9"/>
      </c>
      <c r="AB23" s="60">
        <f t="shared" si="10"/>
      </c>
      <c r="AC23" s="60">
        <f t="shared" si="11"/>
        <v>0</v>
      </c>
      <c r="AD23" s="60">
        <f t="shared" si="18"/>
      </c>
      <c r="AE23" s="153">
        <f>IF(Y23="","",IF(L23&gt;$F$11,AE22,IF(W23&lt;2008,13%,LOOKUP(W23,$L$5:$L$9,$M$5:M$9))))</f>
      </c>
      <c r="AF23" s="152">
        <f t="shared" si="19"/>
      </c>
      <c r="AG23" s="60">
        <f t="shared" si="20"/>
      </c>
      <c r="AH23" s="155">
        <f t="shared" si="21"/>
      </c>
      <c r="AI23" s="137">
        <f t="shared" si="12"/>
      </c>
      <c r="AJ23" s="60">
        <f t="shared" si="22"/>
      </c>
      <c r="AK23" s="152">
        <f t="shared" si="23"/>
        <v>0</v>
      </c>
      <c r="AL23" s="152">
        <f t="shared" si="24"/>
      </c>
      <c r="AM23" s="60">
        <f t="shared" si="25"/>
      </c>
      <c r="AN23" s="60">
        <f t="shared" si="26"/>
        <v>0</v>
      </c>
      <c r="AO23" s="156">
        <f t="shared" si="27"/>
      </c>
      <c r="AP23" s="153">
        <f t="shared" si="13"/>
      </c>
      <c r="AQ23" s="152">
        <f t="shared" si="28"/>
      </c>
      <c r="AR23" s="157">
        <f t="shared" si="29"/>
      </c>
      <c r="AS23" s="60">
        <v>4</v>
      </c>
    </row>
    <row r="24" spans="1:45" ht="12.75">
      <c r="A24" s="17"/>
      <c r="B24" s="17"/>
      <c r="C24" s="163" t="s">
        <v>67</v>
      </c>
      <c r="D24" s="164">
        <f>ROUND(D23+55%,2)</f>
        <v>0.68</v>
      </c>
      <c r="E24" s="17"/>
      <c r="F24" s="17"/>
      <c r="G24" s="17"/>
      <c r="H24" s="165"/>
      <c r="I24" s="138"/>
      <c r="J24" s="17"/>
      <c r="K24" s="17"/>
      <c r="L24" s="132">
        <f t="shared" si="14"/>
      </c>
      <c r="M24" s="351">
        <f t="shared" si="0"/>
      </c>
      <c r="N24" s="331">
        <f t="shared" si="1"/>
      </c>
      <c r="O24" s="358">
        <f>IF(L24&lt;$D$27,IF(N24="","",IF(L24&lt;$F$10,N24*0.13/30,IF($O$19="",$F$16*0.13/30,IF($F$18&gt;0,MAX(($F$18-$I$16)*0.13/30,0),((F$16*$F$17)-$I$16)*0.13/30)))),0)</f>
        <v>0</v>
      </c>
      <c r="P24" s="358">
        <f t="shared" si="3"/>
      </c>
      <c r="Q24" s="331">
        <f t="shared" si="15"/>
      </c>
      <c r="R24" s="349">
        <f t="shared" si="4"/>
        <v>0</v>
      </c>
      <c r="S24" s="349">
        <f t="shared" si="5"/>
      </c>
      <c r="T24" s="153">
        <f>IF(Q24="","",IF(L24&gt;$F$11,T23,IF(L24&lt;2008,13%,LOOKUP(L24,$L$5:$L$9,$M$5:M$9))))</f>
      </c>
      <c r="U24" s="154">
        <f>IF(Q24="","",IF(T24=13%,Q24*T24/30,(R24+S24)*T24))</f>
      </c>
      <c r="V24" s="316">
        <f t="shared" si="16"/>
      </c>
      <c r="W24" s="155">
        <f t="shared" si="17"/>
      </c>
      <c r="X24" s="137">
        <f t="shared" si="6"/>
      </c>
      <c r="Y24" s="60">
        <f t="shared" si="7"/>
      </c>
      <c r="Z24" s="152">
        <f t="shared" si="8"/>
        <v>0</v>
      </c>
      <c r="AA24" s="152">
        <f t="shared" si="9"/>
      </c>
      <c r="AB24" s="60">
        <f t="shared" si="10"/>
      </c>
      <c r="AC24" s="60">
        <f t="shared" si="11"/>
        <v>0</v>
      </c>
      <c r="AD24" s="60">
        <f t="shared" si="18"/>
      </c>
      <c r="AE24" s="153">
        <f>IF(Y24="","",IF(L24&gt;$F$11,AE23,IF(W24&lt;2008,13%,LOOKUP(W24,$L$5:$L$9,$M$5:M$9))))</f>
      </c>
      <c r="AF24" s="152">
        <f t="shared" si="19"/>
      </c>
      <c r="AG24" s="60">
        <f t="shared" si="20"/>
      </c>
      <c r="AH24" s="155">
        <f t="shared" si="21"/>
      </c>
      <c r="AI24" s="137">
        <f t="shared" si="12"/>
      </c>
      <c r="AJ24" s="60">
        <f t="shared" si="22"/>
      </c>
      <c r="AK24" s="152">
        <f t="shared" si="23"/>
        <v>0</v>
      </c>
      <c r="AL24" s="152">
        <f t="shared" si="24"/>
      </c>
      <c r="AM24" s="60">
        <f t="shared" si="25"/>
      </c>
      <c r="AN24" s="60">
        <f t="shared" si="26"/>
        <v>0</v>
      </c>
      <c r="AO24" s="156">
        <f t="shared" si="27"/>
      </c>
      <c r="AP24" s="153">
        <f t="shared" si="13"/>
      </c>
      <c r="AQ24" s="152">
        <f t="shared" si="28"/>
      </c>
      <c r="AR24" s="157">
        <f t="shared" si="29"/>
      </c>
      <c r="AS24" s="60">
        <v>5</v>
      </c>
    </row>
    <row r="25" spans="1:4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32">
        <f t="shared" si="14"/>
      </c>
      <c r="M25" s="351">
        <f t="shared" si="0"/>
      </c>
      <c r="N25" s="331">
        <f t="shared" si="1"/>
      </c>
      <c r="O25" s="358">
        <f t="shared" si="2"/>
        <v>0</v>
      </c>
      <c r="P25" s="358">
        <f>IF($D$27&gt;L25,0,IF($F$16="","",IF(L25&lt;$F$10,0,IF($F$18&gt;0,$P$16,MAX(IF($D$27&gt;L25,0,($G$17-$I$16)*$P$18/30),0)))))</f>
      </c>
      <c r="Q25" s="331">
        <f t="shared" si="15"/>
      </c>
      <c r="R25" s="349">
        <f t="shared" si="4"/>
        <v>0</v>
      </c>
      <c r="S25" s="349">
        <f t="shared" si="5"/>
      </c>
      <c r="T25" s="153">
        <f>IF(Q25="","",IF(L25&gt;$F$11,T24,IF(L25&lt;2008,13%,LOOKUP(L25,$L$5:$L$9,$M$5:M$9))))</f>
      </c>
      <c r="U25" s="154">
        <f aca="true" t="shared" si="30" ref="U25:U49">IF(Q25="","",IF(T25=13%,Q25*T25/30,(R25+S25)*T25))</f>
      </c>
      <c r="V25" s="316">
        <f t="shared" si="16"/>
      </c>
      <c r="W25" s="155">
        <f t="shared" si="17"/>
      </c>
      <c r="X25" s="137">
        <f t="shared" si="6"/>
      </c>
      <c r="Y25" s="60">
        <f t="shared" si="7"/>
      </c>
      <c r="Z25" s="152">
        <f t="shared" si="8"/>
        <v>0</v>
      </c>
      <c r="AA25" s="152">
        <f t="shared" si="9"/>
      </c>
      <c r="AB25" s="60">
        <f t="shared" si="10"/>
      </c>
      <c r="AC25" s="60">
        <f t="shared" si="11"/>
        <v>0</v>
      </c>
      <c r="AD25" s="60">
        <f t="shared" si="18"/>
      </c>
      <c r="AE25" s="153">
        <f>IF(Y25="","",IF(L25&gt;$F$11,AE24,IF(W25&lt;2008,13%,LOOKUP(W25,$L$5:$L$9,$M$5:M$9))))</f>
      </c>
      <c r="AF25" s="152">
        <f t="shared" si="19"/>
      </c>
      <c r="AG25" s="60">
        <f t="shared" si="20"/>
      </c>
      <c r="AH25" s="155">
        <f t="shared" si="21"/>
      </c>
      <c r="AI25" s="137">
        <f t="shared" si="12"/>
      </c>
      <c r="AJ25" s="60">
        <f t="shared" si="22"/>
      </c>
      <c r="AK25" s="152">
        <f t="shared" si="23"/>
        <v>0</v>
      </c>
      <c r="AL25" s="152">
        <f t="shared" si="24"/>
      </c>
      <c r="AM25" s="60">
        <f t="shared" si="25"/>
      </c>
      <c r="AN25" s="60">
        <f t="shared" si="26"/>
        <v>0</v>
      </c>
      <c r="AO25" s="156">
        <f t="shared" si="27"/>
      </c>
      <c r="AP25" s="153">
        <f t="shared" si="13"/>
      </c>
      <c r="AQ25" s="152">
        <f t="shared" si="28"/>
      </c>
      <c r="AR25" s="157">
        <f t="shared" si="29"/>
      </c>
      <c r="AS25" s="60">
        <v>6</v>
      </c>
    </row>
    <row r="26" spans="1:45" ht="12.75">
      <c r="A26" s="17"/>
      <c r="B26" s="17"/>
      <c r="C26" s="17"/>
      <c r="D26" s="58" t="s">
        <v>72</v>
      </c>
      <c r="E26" s="17"/>
      <c r="F26" s="17"/>
      <c r="G26" s="17"/>
      <c r="H26" s="17"/>
      <c r="I26" s="17"/>
      <c r="J26" s="17"/>
      <c r="K26" s="17"/>
      <c r="L26" s="132">
        <f t="shared" si="14"/>
      </c>
      <c r="M26" s="351">
        <f t="shared" si="0"/>
      </c>
      <c r="N26" s="331">
        <f t="shared" si="1"/>
      </c>
      <c r="O26" s="358">
        <f t="shared" si="2"/>
        <v>0</v>
      </c>
      <c r="P26" s="358">
        <f t="shared" si="3"/>
      </c>
      <c r="Q26" s="331">
        <f t="shared" si="15"/>
      </c>
      <c r="R26" s="349">
        <f t="shared" si="4"/>
        <v>0</v>
      </c>
      <c r="S26" s="349">
        <f t="shared" si="5"/>
      </c>
      <c r="T26" s="153">
        <f>IF(Q26="","",IF(L26&gt;$F$11,T25,IF(L26&lt;2008,13%,LOOKUP(L26,$L$5:$L$9,$M$5:M$9))))</f>
      </c>
      <c r="U26" s="154">
        <f t="shared" si="30"/>
      </c>
      <c r="V26" s="316">
        <f t="shared" si="16"/>
      </c>
      <c r="W26" s="155">
        <f t="shared" si="17"/>
      </c>
      <c r="X26" s="137">
        <f t="shared" si="6"/>
      </c>
      <c r="Y26" s="60">
        <f t="shared" si="7"/>
      </c>
      <c r="Z26" s="152">
        <f t="shared" si="8"/>
        <v>0</v>
      </c>
      <c r="AA26" s="152">
        <f t="shared" si="9"/>
      </c>
      <c r="AB26" s="60">
        <f t="shared" si="10"/>
      </c>
      <c r="AC26" s="60">
        <f t="shared" si="11"/>
        <v>0</v>
      </c>
      <c r="AD26" s="60">
        <f t="shared" si="18"/>
      </c>
      <c r="AE26" s="153">
        <f>IF(Y26="","",IF(L26&gt;$F$11,AE25,IF(W26&lt;2008,13%,LOOKUP(W26,$L$5:$L$9,$M$5:M$9))))</f>
      </c>
      <c r="AF26" s="152">
        <f t="shared" si="19"/>
      </c>
      <c r="AG26" s="60">
        <f t="shared" si="20"/>
      </c>
      <c r="AH26" s="155">
        <f t="shared" si="21"/>
      </c>
      <c r="AI26" s="137">
        <f t="shared" si="12"/>
      </c>
      <c r="AJ26" s="60">
        <f t="shared" si="22"/>
      </c>
      <c r="AK26" s="152">
        <f t="shared" si="23"/>
        <v>0</v>
      </c>
      <c r="AL26" s="152">
        <f t="shared" si="24"/>
      </c>
      <c r="AM26" s="60">
        <f t="shared" si="25"/>
      </c>
      <c r="AN26" s="60">
        <f t="shared" si="26"/>
        <v>0</v>
      </c>
      <c r="AO26" s="156">
        <f t="shared" si="27"/>
      </c>
      <c r="AP26" s="153">
        <f t="shared" si="13"/>
      </c>
      <c r="AQ26" s="152">
        <f t="shared" si="28"/>
      </c>
      <c r="AR26" s="157">
        <f t="shared" si="29"/>
      </c>
      <c r="AS26" s="60">
        <v>7</v>
      </c>
    </row>
    <row r="27" spans="1:45" ht="12.75">
      <c r="A27" s="17" t="s">
        <v>70</v>
      </c>
      <c r="B27" s="17"/>
      <c r="C27" s="26"/>
      <c r="D27" s="158"/>
      <c r="E27" s="17"/>
      <c r="F27" s="17"/>
      <c r="G27" s="17"/>
      <c r="H27" s="17"/>
      <c r="I27" s="17"/>
      <c r="J27" s="17"/>
      <c r="K27" s="17"/>
      <c r="L27" s="132">
        <f t="shared" si="14"/>
      </c>
      <c r="M27" s="351">
        <f t="shared" si="0"/>
      </c>
      <c r="N27" s="331">
        <f t="shared" si="1"/>
      </c>
      <c r="O27" s="358">
        <f t="shared" si="2"/>
        <v>0</v>
      </c>
      <c r="P27" s="358">
        <f t="shared" si="3"/>
      </c>
      <c r="Q27" s="331">
        <f t="shared" si="15"/>
      </c>
      <c r="R27" s="349">
        <f t="shared" si="4"/>
        <v>0</v>
      </c>
      <c r="S27" s="349">
        <f t="shared" si="5"/>
      </c>
      <c r="T27" s="153">
        <f>IF(Q27="","",IF(L27&gt;$F$11,T26,IF(L27&lt;2008,13%,LOOKUP(L27,$L$5:$L$9,$M$5:M$9))))</f>
      </c>
      <c r="U27" s="154">
        <f t="shared" si="30"/>
      </c>
      <c r="V27" s="316">
        <f t="shared" si="16"/>
      </c>
      <c r="W27" s="155">
        <f t="shared" si="17"/>
      </c>
      <c r="X27" s="137">
        <f t="shared" si="6"/>
      </c>
      <c r="Y27" s="60">
        <f t="shared" si="7"/>
      </c>
      <c r="Z27" s="152">
        <f t="shared" si="8"/>
        <v>0</v>
      </c>
      <c r="AA27" s="152">
        <f t="shared" si="9"/>
      </c>
      <c r="AB27" s="60">
        <f t="shared" si="10"/>
      </c>
      <c r="AC27" s="60">
        <f t="shared" si="11"/>
        <v>0</v>
      </c>
      <c r="AD27" s="60">
        <f t="shared" si="18"/>
      </c>
      <c r="AE27" s="153">
        <f>IF(Y27="","",IF(L27&gt;$F$11,AE26,IF(W27&lt;2008,13%,LOOKUP(W27,$L$5:$L$9,$M$5:M$9))))</f>
      </c>
      <c r="AF27" s="152">
        <f t="shared" si="19"/>
      </c>
      <c r="AG27" s="60">
        <f t="shared" si="20"/>
      </c>
      <c r="AH27" s="155">
        <f t="shared" si="21"/>
      </c>
      <c r="AI27" s="137">
        <f t="shared" si="12"/>
      </c>
      <c r="AJ27" s="60">
        <f t="shared" si="22"/>
      </c>
      <c r="AK27" s="152">
        <f t="shared" si="23"/>
        <v>0</v>
      </c>
      <c r="AL27" s="152">
        <f t="shared" si="24"/>
      </c>
      <c r="AM27" s="60">
        <f t="shared" si="25"/>
      </c>
      <c r="AN27" s="60">
        <f t="shared" si="26"/>
        <v>0</v>
      </c>
      <c r="AO27" s="156">
        <f t="shared" si="27"/>
      </c>
      <c r="AP27" s="153">
        <f t="shared" si="13"/>
      </c>
      <c r="AQ27" s="152">
        <f t="shared" si="28"/>
      </c>
      <c r="AR27" s="157">
        <f t="shared" si="29"/>
      </c>
      <c r="AS27" s="60">
        <v>8</v>
      </c>
    </row>
    <row r="28" spans="1:45" ht="12.75">
      <c r="A28" s="17" t="s">
        <v>71</v>
      </c>
      <c r="B28" s="17"/>
      <c r="C28" s="26"/>
      <c r="D28" s="160"/>
      <c r="E28" s="17"/>
      <c r="F28" s="17"/>
      <c r="G28" s="17"/>
      <c r="H28" s="17"/>
      <c r="I28" s="17"/>
      <c r="J28" s="17"/>
      <c r="K28" s="17"/>
      <c r="L28" s="132">
        <f t="shared" si="14"/>
      </c>
      <c r="M28" s="351">
        <f t="shared" si="0"/>
      </c>
      <c r="N28" s="331">
        <f t="shared" si="1"/>
      </c>
      <c r="O28" s="358">
        <f t="shared" si="2"/>
        <v>0</v>
      </c>
      <c r="P28" s="358">
        <f t="shared" si="3"/>
      </c>
      <c r="Q28" s="331">
        <f t="shared" si="15"/>
      </c>
      <c r="R28" s="349">
        <f t="shared" si="4"/>
        <v>0</v>
      </c>
      <c r="S28" s="349">
        <f t="shared" si="5"/>
      </c>
      <c r="T28" s="153">
        <f>IF(Q28="","",IF(L28&gt;$F$11,T27,IF(L28&lt;2008,13%,LOOKUP(L28,$L$5:$L$9,$M$5:M$9))))</f>
      </c>
      <c r="U28" s="154">
        <f t="shared" si="30"/>
      </c>
      <c r="V28" s="316">
        <f t="shared" si="16"/>
      </c>
      <c r="W28" s="155">
        <f t="shared" si="17"/>
      </c>
      <c r="X28" s="137">
        <f t="shared" si="6"/>
      </c>
      <c r="Y28" s="60">
        <f t="shared" si="7"/>
      </c>
      <c r="Z28" s="152">
        <f t="shared" si="8"/>
        <v>0</v>
      </c>
      <c r="AA28" s="152">
        <f t="shared" si="9"/>
      </c>
      <c r="AB28" s="60">
        <f t="shared" si="10"/>
      </c>
      <c r="AC28" s="60">
        <f t="shared" si="11"/>
        <v>0</v>
      </c>
      <c r="AD28" s="60">
        <f t="shared" si="18"/>
      </c>
      <c r="AE28" s="153">
        <f>IF(Y28="","",IF(L28&gt;$F$11,AE27,IF(W28&lt;2008,13%,LOOKUP(W28,$L$5:$L$9,$M$5:M$9))))</f>
      </c>
      <c r="AF28" s="152">
        <f t="shared" si="19"/>
      </c>
      <c r="AG28" s="60">
        <f t="shared" si="20"/>
      </c>
      <c r="AH28" s="155">
        <f t="shared" si="21"/>
      </c>
      <c r="AI28" s="137">
        <f t="shared" si="12"/>
      </c>
      <c r="AJ28" s="60">
        <f t="shared" si="22"/>
      </c>
      <c r="AK28" s="152">
        <f t="shared" si="23"/>
        <v>0</v>
      </c>
      <c r="AL28" s="152">
        <f t="shared" si="24"/>
      </c>
      <c r="AM28" s="60">
        <f t="shared" si="25"/>
      </c>
      <c r="AN28" s="60">
        <f t="shared" si="26"/>
        <v>0</v>
      </c>
      <c r="AO28" s="156">
        <f t="shared" si="27"/>
      </c>
      <c r="AP28" s="153">
        <f t="shared" si="13"/>
      </c>
      <c r="AQ28" s="152">
        <f t="shared" si="28"/>
      </c>
      <c r="AR28" s="157">
        <f t="shared" si="29"/>
      </c>
      <c r="AS28" s="60">
        <v>9</v>
      </c>
    </row>
    <row r="29" spans="1:45" ht="12.75">
      <c r="A29" s="17"/>
      <c r="B29" s="17"/>
      <c r="C29" s="161" t="s">
        <v>66</v>
      </c>
      <c r="D29" s="162">
        <f>IF(D28="",ROUND(4.5%*13/4.5,2),ROUND(D28*13/4.5,2))</f>
        <v>0.13</v>
      </c>
      <c r="E29" s="138"/>
      <c r="F29" s="17"/>
      <c r="G29" s="17"/>
      <c r="H29" s="17"/>
      <c r="I29" s="17"/>
      <c r="J29" s="17"/>
      <c r="K29" s="17"/>
      <c r="L29" s="132">
        <f t="shared" si="14"/>
      </c>
      <c r="M29" s="351">
        <f t="shared" si="0"/>
      </c>
      <c r="N29" s="331">
        <f t="shared" si="1"/>
      </c>
      <c r="O29" s="358">
        <f t="shared" si="2"/>
        <v>0</v>
      </c>
      <c r="P29" s="358">
        <f t="shared" si="3"/>
      </c>
      <c r="Q29" s="331">
        <f t="shared" si="15"/>
      </c>
      <c r="R29" s="349">
        <f t="shared" si="4"/>
        <v>0</v>
      </c>
      <c r="S29" s="349">
        <f t="shared" si="5"/>
      </c>
      <c r="T29" s="153">
        <f>IF(Q29="","",IF(L29&gt;$F$11,T28,IF(L29&lt;2008,13%,LOOKUP(L29,$L$5:$L$9,$M$5:M$9))))</f>
      </c>
      <c r="U29" s="154">
        <f t="shared" si="30"/>
      </c>
      <c r="V29" s="316">
        <f t="shared" si="16"/>
      </c>
      <c r="W29" s="155">
        <f t="shared" si="17"/>
      </c>
      <c r="X29" s="137">
        <f t="shared" si="6"/>
      </c>
      <c r="Y29" s="60">
        <f t="shared" si="7"/>
      </c>
      <c r="Z29" s="152">
        <f t="shared" si="8"/>
        <v>0</v>
      </c>
      <c r="AA29" s="152">
        <f t="shared" si="9"/>
      </c>
      <c r="AB29" s="60">
        <f t="shared" si="10"/>
      </c>
      <c r="AC29" s="60">
        <f t="shared" si="11"/>
        <v>0</v>
      </c>
      <c r="AD29" s="60">
        <f t="shared" si="18"/>
      </c>
      <c r="AE29" s="153">
        <f>IF(Y29="","",IF(L29&gt;$F$11,AE28,IF(W29&lt;2008,13%,LOOKUP(W29,$L$5:$L$9,$M$5:M$9))))</f>
      </c>
      <c r="AF29" s="152">
        <f t="shared" si="19"/>
      </c>
      <c r="AG29" s="60">
        <f t="shared" si="20"/>
      </c>
      <c r="AH29" s="155">
        <f t="shared" si="21"/>
      </c>
      <c r="AI29" s="137">
        <f t="shared" si="12"/>
      </c>
      <c r="AJ29" s="60">
        <f t="shared" si="22"/>
      </c>
      <c r="AK29" s="152">
        <f t="shared" si="23"/>
        <v>0</v>
      </c>
      <c r="AL29" s="152">
        <f t="shared" si="24"/>
      </c>
      <c r="AM29" s="60">
        <f t="shared" si="25"/>
      </c>
      <c r="AN29" s="60">
        <f t="shared" si="26"/>
        <v>0</v>
      </c>
      <c r="AO29" s="156">
        <f t="shared" si="27"/>
      </c>
      <c r="AP29" s="153">
        <f t="shared" si="13"/>
      </c>
      <c r="AQ29" s="152">
        <f t="shared" si="28"/>
      </c>
      <c r="AR29" s="157">
        <f t="shared" si="29"/>
      </c>
      <c r="AS29" s="60">
        <v>10</v>
      </c>
    </row>
    <row r="30" spans="1:45" ht="12.75">
      <c r="A30" s="17"/>
      <c r="B30" s="17"/>
      <c r="C30" s="163" t="s">
        <v>67</v>
      </c>
      <c r="D30" s="164">
        <f>ROUND(D29+55%,2)</f>
        <v>0.68</v>
      </c>
      <c r="E30" s="138"/>
      <c r="F30" s="17"/>
      <c r="G30" s="17"/>
      <c r="H30" s="165"/>
      <c r="I30" s="138"/>
      <c r="J30" s="17"/>
      <c r="K30" s="17"/>
      <c r="L30" s="132">
        <f t="shared" si="14"/>
      </c>
      <c r="M30" s="351">
        <f t="shared" si="0"/>
      </c>
      <c r="N30" s="331">
        <f t="shared" si="1"/>
      </c>
      <c r="O30" s="358">
        <f t="shared" si="2"/>
        <v>0</v>
      </c>
      <c r="P30" s="358">
        <f t="shared" si="3"/>
      </c>
      <c r="Q30" s="331">
        <f t="shared" si="15"/>
      </c>
      <c r="R30" s="349">
        <f t="shared" si="4"/>
        <v>0</v>
      </c>
      <c r="S30" s="349">
        <f t="shared" si="5"/>
      </c>
      <c r="T30" s="153">
        <f>IF(Q30="","",IF(L30&gt;$F$11,T29,IF(L30&lt;2008,13%,LOOKUP(L30,$L$5:$L$9,$M$5:M$9))))</f>
      </c>
      <c r="U30" s="154">
        <f t="shared" si="30"/>
      </c>
      <c r="V30" s="316">
        <f t="shared" si="16"/>
      </c>
      <c r="W30" s="155">
        <f t="shared" si="17"/>
      </c>
      <c r="X30" s="137">
        <f t="shared" si="6"/>
      </c>
      <c r="Y30" s="60">
        <f t="shared" si="7"/>
      </c>
      <c r="Z30" s="152">
        <f t="shared" si="8"/>
        <v>0</v>
      </c>
      <c r="AA30" s="152">
        <f t="shared" si="9"/>
      </c>
      <c r="AB30" s="60">
        <f t="shared" si="10"/>
      </c>
      <c r="AC30" s="60">
        <f t="shared" si="11"/>
        <v>0</v>
      </c>
      <c r="AD30" s="60">
        <f t="shared" si="18"/>
      </c>
      <c r="AE30" s="153">
        <f>IF(Y30="","",IF(L30&gt;$F$11,AE29,IF(W30&lt;2008,13%,LOOKUP(W30,$L$5:$L$9,$M$5:M$9))))</f>
      </c>
      <c r="AF30" s="152">
        <f t="shared" si="19"/>
      </c>
      <c r="AG30" s="60">
        <f t="shared" si="20"/>
      </c>
      <c r="AH30" s="155">
        <f t="shared" si="21"/>
      </c>
      <c r="AI30" s="137">
        <f t="shared" si="12"/>
      </c>
      <c r="AJ30" s="60">
        <f t="shared" si="22"/>
      </c>
      <c r="AK30" s="152">
        <f t="shared" si="23"/>
        <v>0</v>
      </c>
      <c r="AL30" s="152">
        <f t="shared" si="24"/>
      </c>
      <c r="AM30" s="60">
        <f t="shared" si="25"/>
      </c>
      <c r="AN30" s="60">
        <f t="shared" si="26"/>
        <v>0</v>
      </c>
      <c r="AO30" s="156">
        <f t="shared" si="27"/>
      </c>
      <c r="AP30" s="153">
        <f t="shared" si="13"/>
      </c>
      <c r="AQ30" s="152">
        <f t="shared" si="28"/>
      </c>
      <c r="AR30" s="157">
        <f t="shared" si="29"/>
      </c>
      <c r="AS30" s="60">
        <v>11</v>
      </c>
    </row>
    <row r="31" spans="1:45" ht="12.75">
      <c r="A31" s="17"/>
      <c r="B31" s="17"/>
      <c r="C31" s="17"/>
      <c r="D31" s="17"/>
      <c r="E31" s="138"/>
      <c r="F31" s="17"/>
      <c r="G31" s="17"/>
      <c r="H31" s="165"/>
      <c r="I31" s="138"/>
      <c r="J31" s="17"/>
      <c r="K31" s="17"/>
      <c r="L31" s="132">
        <f t="shared" si="14"/>
      </c>
      <c r="M31" s="351">
        <f t="shared" si="0"/>
      </c>
      <c r="N31" s="331">
        <f t="shared" si="1"/>
      </c>
      <c r="O31" s="358">
        <f t="shared" si="2"/>
        <v>0</v>
      </c>
      <c r="P31" s="358">
        <f t="shared" si="3"/>
      </c>
      <c r="Q31" s="331">
        <f t="shared" si="15"/>
      </c>
      <c r="R31" s="349">
        <f t="shared" si="4"/>
        <v>0</v>
      </c>
      <c r="S31" s="349">
        <f t="shared" si="5"/>
      </c>
      <c r="T31" s="153">
        <f>IF(Q31="","",IF(L31&gt;$F$11,T30,IF(L31&lt;2008,13%,LOOKUP(L31,$L$5:$L$9,$M$5:M$9))))</f>
      </c>
      <c r="U31" s="154">
        <f t="shared" si="30"/>
      </c>
      <c r="V31" s="316">
        <f t="shared" si="16"/>
      </c>
      <c r="W31" s="155">
        <f t="shared" si="17"/>
      </c>
      <c r="X31" s="137">
        <f t="shared" si="6"/>
      </c>
      <c r="Y31" s="60">
        <f t="shared" si="7"/>
      </c>
      <c r="Z31" s="152">
        <f t="shared" si="8"/>
        <v>0</v>
      </c>
      <c r="AA31" s="152">
        <f t="shared" si="9"/>
      </c>
      <c r="AB31" s="60">
        <f t="shared" si="10"/>
      </c>
      <c r="AC31" s="60">
        <f t="shared" si="11"/>
        <v>0</v>
      </c>
      <c r="AD31" s="60">
        <f t="shared" si="18"/>
      </c>
      <c r="AE31" s="153">
        <f>IF(Y31="","",IF(L31&gt;$F$11,AE30,IF(W31&lt;2008,13%,LOOKUP(W31,$L$5:$L$9,$M$5:M$9))))</f>
      </c>
      <c r="AF31" s="152">
        <f t="shared" si="19"/>
      </c>
      <c r="AG31" s="60">
        <f t="shared" si="20"/>
      </c>
      <c r="AH31" s="155">
        <f t="shared" si="21"/>
      </c>
      <c r="AI31" s="137">
        <f t="shared" si="12"/>
      </c>
      <c r="AJ31" s="60">
        <f t="shared" si="22"/>
      </c>
      <c r="AK31" s="152">
        <f t="shared" si="23"/>
        <v>0</v>
      </c>
      <c r="AL31" s="152">
        <f t="shared" si="24"/>
      </c>
      <c r="AM31" s="60">
        <f t="shared" si="25"/>
      </c>
      <c r="AN31" s="60">
        <f t="shared" si="26"/>
        <v>0</v>
      </c>
      <c r="AO31" s="156">
        <f t="shared" si="27"/>
      </c>
      <c r="AP31" s="153">
        <f t="shared" si="13"/>
      </c>
      <c r="AQ31" s="152">
        <f t="shared" si="28"/>
      </c>
      <c r="AR31" s="157">
        <f t="shared" si="29"/>
      </c>
      <c r="AS31" s="60">
        <v>12</v>
      </c>
    </row>
    <row r="32" spans="1:45" ht="12.75">
      <c r="A32" s="166"/>
      <c r="B32" s="44"/>
      <c r="C32" s="44"/>
      <c r="D32" s="167" t="s">
        <v>58</v>
      </c>
      <c r="E32" s="17"/>
      <c r="F32" s="17"/>
      <c r="G32" s="17"/>
      <c r="H32" s="165"/>
      <c r="I32" s="138"/>
      <c r="J32" s="17"/>
      <c r="K32" s="17"/>
      <c r="L32" s="132">
        <f t="shared" si="14"/>
      </c>
      <c r="M32" s="351">
        <f t="shared" si="0"/>
      </c>
      <c r="N32" s="331">
        <f t="shared" si="1"/>
      </c>
      <c r="O32" s="358">
        <f t="shared" si="2"/>
        <v>0</v>
      </c>
      <c r="P32" s="358">
        <f t="shared" si="3"/>
      </c>
      <c r="Q32" s="331">
        <f t="shared" si="15"/>
      </c>
      <c r="R32" s="349">
        <f t="shared" si="4"/>
        <v>0</v>
      </c>
      <c r="S32" s="349">
        <f t="shared" si="5"/>
      </c>
      <c r="T32" s="153">
        <f>IF(Q32="","",IF(L32&gt;$F$11,T31,IF(L32&lt;2008,13%,LOOKUP(L32,$L$5:$L$9,$M$5:M$9))))</f>
      </c>
      <c r="U32" s="154">
        <f t="shared" si="30"/>
      </c>
      <c r="V32" s="316">
        <f t="shared" si="16"/>
      </c>
      <c r="W32" s="155">
        <f t="shared" si="17"/>
      </c>
      <c r="X32" s="137">
        <f t="shared" si="6"/>
      </c>
      <c r="Y32" s="60">
        <f t="shared" si="7"/>
      </c>
      <c r="Z32" s="152">
        <f t="shared" si="8"/>
        <v>0</v>
      </c>
      <c r="AA32" s="152">
        <f t="shared" si="9"/>
      </c>
      <c r="AB32" s="60">
        <f t="shared" si="10"/>
      </c>
      <c r="AC32" s="60">
        <f t="shared" si="11"/>
        <v>0</v>
      </c>
      <c r="AD32" s="60">
        <f t="shared" si="18"/>
      </c>
      <c r="AE32" s="153">
        <f>IF(Y32="","",IF(L32&gt;$F$11,AE31,IF(W32&lt;2008,13%,LOOKUP(W32,$L$5:$L$9,$M$5:M$9))))</f>
      </c>
      <c r="AF32" s="152">
        <f t="shared" si="19"/>
      </c>
      <c r="AG32" s="60">
        <f t="shared" si="20"/>
      </c>
      <c r="AH32" s="155">
        <f t="shared" si="21"/>
      </c>
      <c r="AI32" s="137">
        <f t="shared" si="12"/>
      </c>
      <c r="AJ32" s="60">
        <f t="shared" si="22"/>
      </c>
      <c r="AK32" s="152">
        <f t="shared" si="23"/>
        <v>0</v>
      </c>
      <c r="AL32" s="152">
        <f t="shared" si="24"/>
      </c>
      <c r="AM32" s="60">
        <f t="shared" si="25"/>
      </c>
      <c r="AN32" s="60">
        <f t="shared" si="26"/>
        <v>0</v>
      </c>
      <c r="AO32" s="156">
        <f t="shared" si="27"/>
      </c>
      <c r="AP32" s="153">
        <f t="shared" si="13"/>
      </c>
      <c r="AQ32" s="152">
        <f t="shared" si="28"/>
      </c>
      <c r="AR32" s="157">
        <f t="shared" si="29"/>
      </c>
      <c r="AS32" s="60">
        <v>13</v>
      </c>
    </row>
    <row r="33" spans="1:45" ht="12.75">
      <c r="A33" s="17" t="s">
        <v>70</v>
      </c>
      <c r="B33" s="17"/>
      <c r="C33" s="26"/>
      <c r="D33" s="158"/>
      <c r="E33" s="17"/>
      <c r="F33" s="17"/>
      <c r="G33" s="17"/>
      <c r="H33" s="165"/>
      <c r="I33" s="138"/>
      <c r="J33" s="17"/>
      <c r="K33" s="17"/>
      <c r="L33" s="132">
        <f t="shared" si="14"/>
      </c>
      <c r="M33" s="351">
        <f t="shared" si="0"/>
      </c>
      <c r="N33" s="331">
        <f t="shared" si="1"/>
      </c>
      <c r="O33" s="358">
        <f t="shared" si="2"/>
        <v>0</v>
      </c>
      <c r="P33" s="358">
        <f t="shared" si="3"/>
      </c>
      <c r="Q33" s="331">
        <f t="shared" si="15"/>
      </c>
      <c r="R33" s="349">
        <f t="shared" si="4"/>
        <v>0</v>
      </c>
      <c r="S33" s="349">
        <f t="shared" si="5"/>
      </c>
      <c r="T33" s="153">
        <f>IF(Q33="","",IF(L33&gt;$F$11,T32,IF(L33&lt;2008,13%,LOOKUP(L33,$L$5:$L$9,$M$5:M$9))))</f>
      </c>
      <c r="U33" s="154">
        <f t="shared" si="30"/>
      </c>
      <c r="V33" s="316">
        <f t="shared" si="16"/>
      </c>
      <c r="W33" s="155">
        <f t="shared" si="17"/>
      </c>
      <c r="X33" s="137">
        <f t="shared" si="6"/>
      </c>
      <c r="Y33" s="60">
        <f t="shared" si="7"/>
      </c>
      <c r="Z33" s="152">
        <f t="shared" si="8"/>
        <v>0</v>
      </c>
      <c r="AA33" s="152">
        <f t="shared" si="9"/>
      </c>
      <c r="AB33" s="60">
        <f t="shared" si="10"/>
      </c>
      <c r="AC33" s="60">
        <f t="shared" si="11"/>
        <v>0</v>
      </c>
      <c r="AD33" s="60">
        <f t="shared" si="18"/>
      </c>
      <c r="AE33" s="153">
        <f>IF(Y33="","",IF(L33&gt;$F$11,AE32,IF(W33&lt;2008,13%,LOOKUP(W33,$L$5:$L$9,$M$5:M$9))))</f>
      </c>
      <c r="AF33" s="152">
        <f t="shared" si="19"/>
      </c>
      <c r="AG33" s="60">
        <f t="shared" si="20"/>
      </c>
      <c r="AH33" s="155">
        <f t="shared" si="21"/>
      </c>
      <c r="AI33" s="137">
        <f t="shared" si="12"/>
      </c>
      <c r="AJ33" s="60">
        <f t="shared" si="22"/>
      </c>
      <c r="AK33" s="152">
        <f t="shared" si="23"/>
        <v>0</v>
      </c>
      <c r="AL33" s="152">
        <f t="shared" si="24"/>
      </c>
      <c r="AM33" s="60">
        <f t="shared" si="25"/>
      </c>
      <c r="AN33" s="60">
        <f t="shared" si="26"/>
        <v>0</v>
      </c>
      <c r="AO33" s="156">
        <f t="shared" si="27"/>
      </c>
      <c r="AP33" s="153">
        <f t="shared" si="13"/>
      </c>
      <c r="AQ33" s="152">
        <f t="shared" si="28"/>
      </c>
      <c r="AR33" s="157">
        <f t="shared" si="29"/>
      </c>
      <c r="AS33" s="60">
        <v>14</v>
      </c>
    </row>
    <row r="34" spans="1:45" ht="12.75">
      <c r="A34" s="17" t="s">
        <v>71</v>
      </c>
      <c r="B34" s="17"/>
      <c r="C34" s="26"/>
      <c r="D34" s="160"/>
      <c r="E34" s="17"/>
      <c r="F34" s="17"/>
      <c r="G34" s="17"/>
      <c r="H34" s="165"/>
      <c r="I34" s="138"/>
      <c r="J34" s="17"/>
      <c r="K34" s="17"/>
      <c r="L34" s="132">
        <f t="shared" si="14"/>
      </c>
      <c r="M34" s="351">
        <f t="shared" si="0"/>
      </c>
      <c r="N34" s="331">
        <f t="shared" si="1"/>
      </c>
      <c r="O34" s="358">
        <f t="shared" si="2"/>
        <v>0</v>
      </c>
      <c r="P34" s="358">
        <f t="shared" si="3"/>
      </c>
      <c r="Q34" s="331">
        <f t="shared" si="15"/>
      </c>
      <c r="R34" s="349">
        <f t="shared" si="4"/>
        <v>0</v>
      </c>
      <c r="S34" s="349">
        <f t="shared" si="5"/>
      </c>
      <c r="T34" s="153">
        <f>IF(Q34="","",IF(L34&gt;$F$11,T33,IF(L34&lt;2008,13%,LOOKUP(L34,$L$5:$L$9,$M$5:M$9))))</f>
      </c>
      <c r="U34" s="154">
        <f t="shared" si="30"/>
      </c>
      <c r="V34" s="316">
        <f t="shared" si="16"/>
      </c>
      <c r="W34" s="155">
        <f t="shared" si="17"/>
      </c>
      <c r="X34" s="137">
        <f t="shared" si="6"/>
      </c>
      <c r="Y34" s="60">
        <f t="shared" si="7"/>
      </c>
      <c r="Z34" s="152">
        <f t="shared" si="8"/>
        <v>0</v>
      </c>
      <c r="AA34" s="152">
        <f t="shared" si="9"/>
      </c>
      <c r="AB34" s="60">
        <f t="shared" si="10"/>
      </c>
      <c r="AC34" s="60">
        <f t="shared" si="11"/>
        <v>0</v>
      </c>
      <c r="AD34" s="60">
        <f t="shared" si="18"/>
      </c>
      <c r="AE34" s="153">
        <f>IF(Y34="","",IF(L34&gt;$F$11,AE33,IF(W34&lt;2008,13%,LOOKUP(W34,$L$5:$L$9,$M$5:M$9))))</f>
      </c>
      <c r="AF34" s="152">
        <f t="shared" si="19"/>
      </c>
      <c r="AG34" s="60">
        <f t="shared" si="20"/>
      </c>
      <c r="AH34" s="155">
        <f t="shared" si="21"/>
      </c>
      <c r="AI34" s="137">
        <f t="shared" si="12"/>
      </c>
      <c r="AJ34" s="60">
        <f t="shared" si="22"/>
      </c>
      <c r="AK34" s="152">
        <f t="shared" si="23"/>
        <v>0</v>
      </c>
      <c r="AL34" s="152">
        <f t="shared" si="24"/>
      </c>
      <c r="AM34" s="60">
        <f t="shared" si="25"/>
      </c>
      <c r="AN34" s="60">
        <f t="shared" si="26"/>
        <v>0</v>
      </c>
      <c r="AO34" s="156">
        <f t="shared" si="27"/>
      </c>
      <c r="AP34" s="153">
        <f t="shared" si="13"/>
      </c>
      <c r="AQ34" s="152">
        <f t="shared" si="28"/>
      </c>
      <c r="AR34" s="157">
        <f t="shared" si="29"/>
      </c>
      <c r="AS34" s="60">
        <v>15</v>
      </c>
    </row>
    <row r="35" spans="1:45" ht="12.75">
      <c r="A35" s="17"/>
      <c r="B35" s="17"/>
      <c r="C35" s="161" t="s">
        <v>66</v>
      </c>
      <c r="D35" s="162">
        <f>IF(D34="",ROUND(4.5%*13/4.5,2),ROUND(D34*13/4.5,2))</f>
        <v>0.13</v>
      </c>
      <c r="E35" s="17"/>
      <c r="F35" s="17"/>
      <c r="G35" s="17"/>
      <c r="H35" s="165"/>
      <c r="I35" s="138"/>
      <c r="J35" s="17"/>
      <c r="K35" s="17"/>
      <c r="L35" s="132">
        <f t="shared" si="14"/>
      </c>
      <c r="M35" s="351">
        <f t="shared" si="0"/>
      </c>
      <c r="N35" s="331">
        <f t="shared" si="1"/>
      </c>
      <c r="O35" s="358">
        <f t="shared" si="2"/>
        <v>0</v>
      </c>
      <c r="P35" s="358">
        <f t="shared" si="3"/>
      </c>
      <c r="Q35" s="331">
        <f t="shared" si="15"/>
      </c>
      <c r="R35" s="349">
        <f t="shared" si="4"/>
        <v>0</v>
      </c>
      <c r="S35" s="349">
        <f t="shared" si="5"/>
      </c>
      <c r="T35" s="153">
        <f>IF(Q35="","",IF(L35&gt;$F$11,T34,IF(L35&lt;2008,13%,LOOKUP(L35,$L$5:$L$9,$M$5:M$9))))</f>
      </c>
      <c r="U35" s="154">
        <f t="shared" si="30"/>
      </c>
      <c r="V35" s="316">
        <f t="shared" si="16"/>
      </c>
      <c r="W35" s="155">
        <f t="shared" si="17"/>
      </c>
      <c r="X35" s="137">
        <f t="shared" si="6"/>
      </c>
      <c r="Y35" s="60">
        <f t="shared" si="7"/>
      </c>
      <c r="Z35" s="152">
        <f t="shared" si="8"/>
        <v>0</v>
      </c>
      <c r="AA35" s="152">
        <f t="shared" si="9"/>
      </c>
      <c r="AB35" s="60">
        <f t="shared" si="10"/>
      </c>
      <c r="AC35" s="60">
        <f t="shared" si="11"/>
        <v>0</v>
      </c>
      <c r="AD35" s="60">
        <f t="shared" si="18"/>
      </c>
      <c r="AE35" s="153">
        <f>IF(Y35="","",IF(L35&gt;$F$11,AE34,IF(W35&lt;2008,13%,LOOKUP(W35,$L$5:$L$9,$M$5:M$9))))</f>
      </c>
      <c r="AF35" s="152">
        <f t="shared" si="19"/>
      </c>
      <c r="AG35" s="60">
        <f t="shared" si="20"/>
      </c>
      <c r="AH35" s="155">
        <f t="shared" si="21"/>
      </c>
      <c r="AI35" s="137">
        <f t="shared" si="12"/>
      </c>
      <c r="AJ35" s="60">
        <f t="shared" si="22"/>
      </c>
      <c r="AK35" s="152">
        <f t="shared" si="23"/>
        <v>0</v>
      </c>
      <c r="AL35" s="152">
        <f t="shared" si="24"/>
      </c>
      <c r="AM35" s="60">
        <f t="shared" si="25"/>
      </c>
      <c r="AN35" s="60">
        <f t="shared" si="26"/>
        <v>0</v>
      </c>
      <c r="AO35" s="156">
        <f t="shared" si="27"/>
      </c>
      <c r="AP35" s="153">
        <f t="shared" si="13"/>
      </c>
      <c r="AQ35" s="152">
        <f t="shared" si="28"/>
      </c>
      <c r="AR35" s="157">
        <f t="shared" si="29"/>
      </c>
      <c r="AS35" s="60">
        <v>16</v>
      </c>
    </row>
    <row r="36" spans="1:45" ht="12.75">
      <c r="A36" s="17"/>
      <c r="B36" s="17"/>
      <c r="C36" s="163" t="s">
        <v>67</v>
      </c>
      <c r="D36" s="164">
        <f>ROUND(D35+55%,2)</f>
        <v>0.68</v>
      </c>
      <c r="E36" s="17"/>
      <c r="F36" s="17"/>
      <c r="G36" s="17"/>
      <c r="H36" s="165"/>
      <c r="I36" s="138"/>
      <c r="J36" s="17"/>
      <c r="K36" s="17"/>
      <c r="L36" s="132">
        <f t="shared" si="14"/>
      </c>
      <c r="M36" s="351">
        <f t="shared" si="0"/>
      </c>
      <c r="N36" s="331">
        <f t="shared" si="1"/>
      </c>
      <c r="O36" s="358">
        <f t="shared" si="2"/>
        <v>0</v>
      </c>
      <c r="P36" s="358">
        <f t="shared" si="3"/>
      </c>
      <c r="Q36" s="331">
        <f t="shared" si="15"/>
      </c>
      <c r="R36" s="349">
        <f t="shared" si="4"/>
        <v>0</v>
      </c>
      <c r="S36" s="349">
        <f t="shared" si="5"/>
      </c>
      <c r="T36" s="153">
        <f>IF(Q36="","",IF(L36&gt;$F$11,T35,IF(L36&lt;2008,13%,LOOKUP(L36,$L$5:$L$9,$M$5:M$9))))</f>
      </c>
      <c r="U36" s="154">
        <f t="shared" si="30"/>
      </c>
      <c r="V36" s="316">
        <f t="shared" si="16"/>
      </c>
      <c r="W36" s="155">
        <f t="shared" si="17"/>
      </c>
      <c r="X36" s="137">
        <f t="shared" si="6"/>
      </c>
      <c r="Y36" s="60">
        <f t="shared" si="7"/>
      </c>
      <c r="Z36" s="152">
        <f t="shared" si="8"/>
        <v>0</v>
      </c>
      <c r="AA36" s="152">
        <f t="shared" si="9"/>
      </c>
      <c r="AB36" s="60">
        <f t="shared" si="10"/>
      </c>
      <c r="AC36" s="60">
        <f t="shared" si="11"/>
        <v>0</v>
      </c>
      <c r="AD36" s="60">
        <f t="shared" si="18"/>
      </c>
      <c r="AE36" s="153">
        <f>IF(Y36="","",IF(L36&gt;$F$11,AE35,IF(W36&lt;2008,13%,LOOKUP(W36,$L$5:$L$9,$M$5:M$9))))</f>
      </c>
      <c r="AF36" s="152">
        <f t="shared" si="19"/>
      </c>
      <c r="AG36" s="60">
        <f t="shared" si="20"/>
      </c>
      <c r="AH36" s="155">
        <f t="shared" si="21"/>
      </c>
      <c r="AI36" s="137">
        <f t="shared" si="12"/>
      </c>
      <c r="AJ36" s="60">
        <f t="shared" si="22"/>
      </c>
      <c r="AK36" s="152">
        <f t="shared" si="23"/>
        <v>0</v>
      </c>
      <c r="AL36" s="152">
        <f t="shared" si="24"/>
      </c>
      <c r="AM36" s="60">
        <f t="shared" si="25"/>
      </c>
      <c r="AN36" s="60">
        <f t="shared" si="26"/>
        <v>0</v>
      </c>
      <c r="AO36" s="156">
        <f t="shared" si="27"/>
      </c>
      <c r="AP36" s="153">
        <f t="shared" si="13"/>
      </c>
      <c r="AQ36" s="152">
        <f t="shared" si="28"/>
      </c>
      <c r="AR36" s="157">
        <f t="shared" si="29"/>
      </c>
      <c r="AS36" s="60">
        <v>17</v>
      </c>
    </row>
    <row r="37" spans="1:45" ht="12.75">
      <c r="A37" s="17"/>
      <c r="B37" s="17"/>
      <c r="C37" s="17"/>
      <c r="D37" s="17"/>
      <c r="E37" s="17"/>
      <c r="F37" s="17"/>
      <c r="G37" s="17"/>
      <c r="H37" s="165"/>
      <c r="I37" s="138"/>
      <c r="J37" s="17"/>
      <c r="K37" s="17"/>
      <c r="L37" s="132">
        <f t="shared" si="14"/>
      </c>
      <c r="M37" s="351">
        <f t="shared" si="0"/>
      </c>
      <c r="N37" s="331">
        <f t="shared" si="1"/>
      </c>
      <c r="O37" s="358">
        <f t="shared" si="2"/>
        <v>0</v>
      </c>
      <c r="P37" s="358">
        <f t="shared" si="3"/>
      </c>
      <c r="Q37" s="331">
        <f t="shared" si="15"/>
      </c>
      <c r="R37" s="349">
        <f t="shared" si="4"/>
        <v>0</v>
      </c>
      <c r="S37" s="349">
        <f t="shared" si="5"/>
      </c>
      <c r="T37" s="153">
        <f>IF(Q37="","",IF(L37&gt;$F$11,T36,IF(L37&lt;2008,13%,LOOKUP(L37,$L$5:$L$9,$M$5:M$9))))</f>
      </c>
      <c r="U37" s="154">
        <f t="shared" si="30"/>
      </c>
      <c r="V37" s="316">
        <f t="shared" si="16"/>
      </c>
      <c r="W37" s="155">
        <f t="shared" si="17"/>
      </c>
      <c r="X37" s="137">
        <f t="shared" si="6"/>
      </c>
      <c r="Y37" s="60">
        <f t="shared" si="7"/>
      </c>
      <c r="Z37" s="152">
        <f t="shared" si="8"/>
        <v>0</v>
      </c>
      <c r="AA37" s="152">
        <f t="shared" si="9"/>
      </c>
      <c r="AB37" s="60">
        <f t="shared" si="10"/>
      </c>
      <c r="AC37" s="60">
        <f t="shared" si="11"/>
        <v>0</v>
      </c>
      <c r="AD37" s="60">
        <f t="shared" si="18"/>
      </c>
      <c r="AE37" s="153">
        <f>IF(Y37="","",IF(L37&gt;$F$11,AE36,IF(W37&lt;2008,13%,LOOKUP(W37,$L$5:$L$9,$M$5:M$9))))</f>
      </c>
      <c r="AF37" s="152">
        <f t="shared" si="19"/>
      </c>
      <c r="AG37" s="60">
        <f t="shared" si="20"/>
      </c>
      <c r="AH37" s="155">
        <f t="shared" si="21"/>
      </c>
      <c r="AI37" s="137">
        <f t="shared" si="12"/>
      </c>
      <c r="AJ37" s="60">
        <f t="shared" si="22"/>
      </c>
      <c r="AK37" s="152">
        <f t="shared" si="23"/>
        <v>0</v>
      </c>
      <c r="AL37" s="152">
        <f t="shared" si="24"/>
      </c>
      <c r="AM37" s="60">
        <f t="shared" si="25"/>
      </c>
      <c r="AN37" s="60">
        <f t="shared" si="26"/>
        <v>0</v>
      </c>
      <c r="AO37" s="156">
        <f t="shared" si="27"/>
      </c>
      <c r="AP37" s="153">
        <f t="shared" si="13"/>
      </c>
      <c r="AQ37" s="152">
        <f t="shared" si="28"/>
      </c>
      <c r="AR37" s="157">
        <f t="shared" si="29"/>
      </c>
      <c r="AS37" s="60">
        <v>18</v>
      </c>
    </row>
    <row r="38" spans="1:45" ht="12.75">
      <c r="A38" s="17"/>
      <c r="B38" s="17"/>
      <c r="C38" s="17"/>
      <c r="D38" s="17"/>
      <c r="E38" s="17"/>
      <c r="F38" s="17"/>
      <c r="G38" s="17"/>
      <c r="H38" s="165"/>
      <c r="I38" s="138"/>
      <c r="J38" s="17"/>
      <c r="K38" s="17"/>
      <c r="L38" s="132">
        <f t="shared" si="14"/>
      </c>
      <c r="M38" s="351">
        <f t="shared" si="0"/>
      </c>
      <c r="N38" s="331">
        <f t="shared" si="1"/>
      </c>
      <c r="O38" s="358">
        <f t="shared" si="2"/>
        <v>0</v>
      </c>
      <c r="P38" s="358">
        <f t="shared" si="3"/>
      </c>
      <c r="Q38" s="331">
        <f t="shared" si="15"/>
      </c>
      <c r="R38" s="349">
        <f t="shared" si="4"/>
        <v>0</v>
      </c>
      <c r="S38" s="349">
        <f t="shared" si="5"/>
      </c>
      <c r="T38" s="153">
        <f>IF(Q38="","",IF(L38&gt;$F$11,T37,IF(L38&lt;2008,13%,LOOKUP(L38,$L$5:$L$9,$M$5:M$9))))</f>
      </c>
      <c r="U38" s="154">
        <f t="shared" si="30"/>
      </c>
      <c r="V38" s="316">
        <f t="shared" si="16"/>
      </c>
      <c r="W38" s="155">
        <f t="shared" si="17"/>
      </c>
      <c r="X38" s="137">
        <f t="shared" si="6"/>
      </c>
      <c r="Y38" s="60">
        <f t="shared" si="7"/>
      </c>
      <c r="Z38" s="152">
        <f t="shared" si="8"/>
        <v>0</v>
      </c>
      <c r="AA38" s="152">
        <f t="shared" si="9"/>
      </c>
      <c r="AB38" s="60">
        <f t="shared" si="10"/>
      </c>
      <c r="AC38" s="60">
        <f t="shared" si="11"/>
        <v>0</v>
      </c>
      <c r="AD38" s="60">
        <f t="shared" si="18"/>
      </c>
      <c r="AE38" s="153">
        <f>IF(Y38="","",IF(L38&gt;$F$11,AE37,IF(W38&lt;2008,13%,LOOKUP(W38,$L$5:$L$9,$M$5:M$9))))</f>
      </c>
      <c r="AF38" s="152">
        <f t="shared" si="19"/>
      </c>
      <c r="AG38" s="60">
        <f t="shared" si="20"/>
      </c>
      <c r="AH38" s="155">
        <f t="shared" si="21"/>
      </c>
      <c r="AI38" s="137">
        <f t="shared" si="12"/>
      </c>
      <c r="AJ38" s="60">
        <f t="shared" si="22"/>
      </c>
      <c r="AK38" s="152">
        <f t="shared" si="23"/>
        <v>0</v>
      </c>
      <c r="AL38" s="152">
        <f t="shared" si="24"/>
      </c>
      <c r="AM38" s="60">
        <f t="shared" si="25"/>
      </c>
      <c r="AN38" s="60">
        <f t="shared" si="26"/>
        <v>0</v>
      </c>
      <c r="AO38" s="156">
        <f t="shared" si="27"/>
      </c>
      <c r="AP38" s="153">
        <f t="shared" si="13"/>
      </c>
      <c r="AQ38" s="152">
        <f t="shared" si="28"/>
      </c>
      <c r="AR38" s="157">
        <f t="shared" si="29"/>
      </c>
      <c r="AS38" s="60">
        <v>19</v>
      </c>
    </row>
    <row r="39" spans="1:45" ht="15.75">
      <c r="A39" s="17"/>
      <c r="B39" s="17"/>
      <c r="C39" s="45" t="s">
        <v>52</v>
      </c>
      <c r="D39" s="138"/>
      <c r="E39" s="391">
        <f>SUM(AG50)</f>
        <v>0</v>
      </c>
      <c r="F39" s="392"/>
      <c r="G39" s="324"/>
      <c r="H39" s="324"/>
      <c r="I39" s="325"/>
      <c r="J39" s="17"/>
      <c r="K39" s="17"/>
      <c r="L39" s="132">
        <f t="shared" si="14"/>
      </c>
      <c r="M39" s="351">
        <f t="shared" si="0"/>
      </c>
      <c r="N39" s="331">
        <f t="shared" si="1"/>
      </c>
      <c r="O39" s="358">
        <f t="shared" si="2"/>
        <v>0</v>
      </c>
      <c r="P39" s="358">
        <f t="shared" si="3"/>
      </c>
      <c r="Q39" s="331">
        <f t="shared" si="15"/>
      </c>
      <c r="R39" s="349">
        <f t="shared" si="4"/>
        <v>0</v>
      </c>
      <c r="S39" s="349">
        <f t="shared" si="5"/>
      </c>
      <c r="T39" s="153">
        <f>IF(Q39="","",IF(L39&gt;$F$11,T38,IF(L39&lt;2008,13%,LOOKUP(L39,$L$5:$L$9,$M$5:M$9))))</f>
      </c>
      <c r="U39" s="154">
        <f t="shared" si="30"/>
      </c>
      <c r="V39" s="316">
        <f t="shared" si="16"/>
      </c>
      <c r="W39" s="155">
        <f t="shared" si="17"/>
      </c>
      <c r="X39" s="137">
        <f t="shared" si="6"/>
      </c>
      <c r="Y39" s="60">
        <f t="shared" si="7"/>
      </c>
      <c r="Z39" s="152">
        <f t="shared" si="8"/>
        <v>0</v>
      </c>
      <c r="AA39" s="152">
        <f t="shared" si="9"/>
      </c>
      <c r="AB39" s="60">
        <f t="shared" si="10"/>
      </c>
      <c r="AC39" s="60">
        <f t="shared" si="11"/>
        <v>0</v>
      </c>
      <c r="AD39" s="60">
        <f t="shared" si="18"/>
      </c>
      <c r="AE39" s="153">
        <f>IF(Y39="","",IF(L39&gt;$F$11,AE38,IF(W39&lt;2008,13%,LOOKUP(W39,$L$5:$L$9,$M$5:M$9))))</f>
      </c>
      <c r="AF39" s="152">
        <f t="shared" si="19"/>
      </c>
      <c r="AG39" s="60">
        <f t="shared" si="20"/>
      </c>
      <c r="AH39" s="155">
        <f t="shared" si="21"/>
      </c>
      <c r="AI39" s="137">
        <f t="shared" si="12"/>
      </c>
      <c r="AJ39" s="60">
        <f t="shared" si="22"/>
      </c>
      <c r="AK39" s="152">
        <f t="shared" si="23"/>
        <v>0</v>
      </c>
      <c r="AL39" s="152">
        <f t="shared" si="24"/>
      </c>
      <c r="AM39" s="60">
        <f t="shared" si="25"/>
      </c>
      <c r="AN39" s="60">
        <f t="shared" si="26"/>
        <v>0</v>
      </c>
      <c r="AO39" s="156">
        <f t="shared" si="27"/>
      </c>
      <c r="AP39" s="153">
        <f t="shared" si="13"/>
      </c>
      <c r="AQ39" s="152">
        <f t="shared" si="28"/>
      </c>
      <c r="AR39" s="157">
        <f t="shared" si="29"/>
      </c>
      <c r="AS39" s="60">
        <v>20</v>
      </c>
    </row>
    <row r="40" spans="1:45" ht="15.75">
      <c r="A40" s="17"/>
      <c r="B40" s="17"/>
      <c r="C40" s="45" t="s">
        <v>47</v>
      </c>
      <c r="D40" s="138"/>
      <c r="E40" s="391">
        <f>SUM(V50)</f>
        <v>0</v>
      </c>
      <c r="F40" s="392"/>
      <c r="G40" s="326"/>
      <c r="H40" s="324"/>
      <c r="I40" s="325"/>
      <c r="J40" s="17"/>
      <c r="K40" s="17"/>
      <c r="L40" s="132">
        <f t="shared" si="14"/>
      </c>
      <c r="M40" s="351">
        <f t="shared" si="0"/>
      </c>
      <c r="N40" s="331">
        <f t="shared" si="1"/>
      </c>
      <c r="O40" s="358">
        <f t="shared" si="2"/>
        <v>0</v>
      </c>
      <c r="P40" s="358">
        <f t="shared" si="3"/>
      </c>
      <c r="Q40" s="331">
        <f t="shared" si="15"/>
      </c>
      <c r="R40" s="349">
        <f t="shared" si="4"/>
        <v>0</v>
      </c>
      <c r="S40" s="349">
        <f t="shared" si="5"/>
      </c>
      <c r="T40" s="153">
        <f>IF(Q40="","",IF(L40&gt;$F$11,T39,IF(L40&lt;2008,13%,LOOKUP(L40,$L$5:$L$9,$M$5:M$9))))</f>
      </c>
      <c r="U40" s="154">
        <f t="shared" si="30"/>
      </c>
      <c r="V40" s="316">
        <f t="shared" si="16"/>
      </c>
      <c r="W40" s="155">
        <f t="shared" si="17"/>
      </c>
      <c r="X40" s="137">
        <f t="shared" si="6"/>
      </c>
      <c r="Y40" s="60">
        <f t="shared" si="7"/>
      </c>
      <c r="Z40" s="152">
        <f t="shared" si="8"/>
        <v>0</v>
      </c>
      <c r="AA40" s="152">
        <f t="shared" si="9"/>
      </c>
      <c r="AB40" s="60">
        <f t="shared" si="10"/>
      </c>
      <c r="AC40" s="60">
        <f t="shared" si="11"/>
        <v>0</v>
      </c>
      <c r="AD40" s="60">
        <f t="shared" si="18"/>
      </c>
      <c r="AE40" s="153">
        <f>IF(Y40="","",IF(L40&gt;$F$11,AE39,IF(W40&lt;2008,13%,LOOKUP(W40,$L$5:$L$9,$M$5:M$9))))</f>
      </c>
      <c r="AF40" s="152">
        <f t="shared" si="19"/>
      </c>
      <c r="AG40" s="60">
        <f t="shared" si="20"/>
      </c>
      <c r="AH40" s="155">
        <f t="shared" si="21"/>
      </c>
      <c r="AI40" s="137">
        <f t="shared" si="12"/>
      </c>
      <c r="AJ40" s="60">
        <f t="shared" si="22"/>
      </c>
      <c r="AK40" s="152">
        <f t="shared" si="23"/>
        <v>0</v>
      </c>
      <c r="AL40" s="152">
        <f t="shared" si="24"/>
      </c>
      <c r="AM40" s="60">
        <f t="shared" si="25"/>
      </c>
      <c r="AN40" s="60">
        <f t="shared" si="26"/>
        <v>0</v>
      </c>
      <c r="AO40" s="156">
        <f t="shared" si="27"/>
      </c>
      <c r="AP40" s="153">
        <f t="shared" si="13"/>
      </c>
      <c r="AQ40" s="152">
        <f t="shared" si="28"/>
      </c>
      <c r="AR40" s="157">
        <f t="shared" si="29"/>
      </c>
      <c r="AS40" s="60">
        <v>21</v>
      </c>
    </row>
    <row r="41" spans="1:45" ht="15.75">
      <c r="A41" s="17"/>
      <c r="B41" s="17"/>
      <c r="C41" s="45" t="s">
        <v>54</v>
      </c>
      <c r="D41" s="138"/>
      <c r="E41" s="391">
        <f>SUM(AR50)</f>
        <v>0</v>
      </c>
      <c r="F41" s="392"/>
      <c r="G41" s="324"/>
      <c r="H41" s="324"/>
      <c r="I41" s="325"/>
      <c r="J41" s="17"/>
      <c r="K41" s="17"/>
      <c r="L41" s="132">
        <f t="shared" si="14"/>
      </c>
      <c r="M41" s="351">
        <f t="shared" si="0"/>
      </c>
      <c r="N41" s="331">
        <f t="shared" si="1"/>
      </c>
      <c r="O41" s="358">
        <f t="shared" si="2"/>
        <v>0</v>
      </c>
      <c r="P41" s="358">
        <f t="shared" si="3"/>
      </c>
      <c r="Q41" s="331">
        <f t="shared" si="15"/>
      </c>
      <c r="R41" s="349">
        <f t="shared" si="4"/>
        <v>0</v>
      </c>
      <c r="S41" s="349">
        <f t="shared" si="5"/>
      </c>
      <c r="T41" s="153">
        <f>IF(Q41="","",IF(L41&gt;$F$11,T40,IF(L41&lt;2008,13%,LOOKUP(L41,$L$5:$L$9,$M$5:M$9))))</f>
      </c>
      <c r="U41" s="154">
        <f t="shared" si="30"/>
      </c>
      <c r="V41" s="316">
        <f t="shared" si="16"/>
      </c>
      <c r="W41" s="155">
        <f t="shared" si="17"/>
      </c>
      <c r="X41" s="137">
        <f t="shared" si="6"/>
      </c>
      <c r="Y41" s="60">
        <f t="shared" si="7"/>
      </c>
      <c r="Z41" s="152">
        <f t="shared" si="8"/>
        <v>0</v>
      </c>
      <c r="AA41" s="152">
        <f t="shared" si="9"/>
      </c>
      <c r="AB41" s="60">
        <f t="shared" si="10"/>
      </c>
      <c r="AC41" s="60">
        <f t="shared" si="11"/>
        <v>0</v>
      </c>
      <c r="AD41" s="60">
        <f t="shared" si="18"/>
      </c>
      <c r="AE41" s="153">
        <f>IF(Y41="","",IF(L41&gt;$F$11,AE40,IF(W41&lt;2008,13%,LOOKUP(W41,$L$5:$L$9,$M$5:M$9))))</f>
      </c>
      <c r="AF41" s="152">
        <f t="shared" si="19"/>
      </c>
      <c r="AG41" s="60">
        <f t="shared" si="20"/>
      </c>
      <c r="AH41" s="155">
        <f t="shared" si="21"/>
      </c>
      <c r="AI41" s="137">
        <f t="shared" si="12"/>
      </c>
      <c r="AJ41" s="60">
        <f t="shared" si="22"/>
      </c>
      <c r="AK41" s="152">
        <f t="shared" si="23"/>
        <v>0</v>
      </c>
      <c r="AL41" s="152">
        <f t="shared" si="24"/>
      </c>
      <c r="AM41" s="60">
        <f t="shared" si="25"/>
      </c>
      <c r="AN41" s="60">
        <f t="shared" si="26"/>
        <v>0</v>
      </c>
      <c r="AO41" s="156">
        <f t="shared" si="27"/>
      </c>
      <c r="AP41" s="153">
        <f t="shared" si="13"/>
      </c>
      <c r="AQ41" s="152">
        <f t="shared" si="28"/>
      </c>
      <c r="AR41" s="157">
        <f t="shared" si="29"/>
      </c>
      <c r="AS41" s="60">
        <v>22</v>
      </c>
    </row>
    <row r="42" spans="1:45" ht="13.5" thickBot="1">
      <c r="A42" s="17"/>
      <c r="B42" s="17"/>
      <c r="C42" s="165"/>
      <c r="D42" s="138"/>
      <c r="E42" s="17"/>
      <c r="F42" s="17"/>
      <c r="G42" s="291"/>
      <c r="H42" s="165"/>
      <c r="I42" s="138"/>
      <c r="J42" s="17"/>
      <c r="K42" s="17"/>
      <c r="L42" s="132">
        <f t="shared" si="14"/>
      </c>
      <c r="M42" s="351">
        <f t="shared" si="0"/>
      </c>
      <c r="N42" s="331">
        <f t="shared" si="1"/>
      </c>
      <c r="O42" s="358">
        <f t="shared" si="2"/>
        <v>0</v>
      </c>
      <c r="P42" s="358">
        <f t="shared" si="3"/>
      </c>
      <c r="Q42" s="331">
        <f t="shared" si="15"/>
      </c>
      <c r="R42" s="349">
        <f t="shared" si="4"/>
        <v>0</v>
      </c>
      <c r="S42" s="349">
        <f t="shared" si="5"/>
      </c>
      <c r="T42" s="153">
        <f>IF(Q42="","",IF(L42&gt;$F$11,T41,IF(L42&lt;2008,13%,LOOKUP(L42,$L$5:$L$9,$M$5:M$9))))</f>
      </c>
      <c r="U42" s="154">
        <f t="shared" si="30"/>
      </c>
      <c r="V42" s="316">
        <f t="shared" si="16"/>
      </c>
      <c r="W42" s="155">
        <f t="shared" si="17"/>
      </c>
      <c r="X42" s="137">
        <f t="shared" si="6"/>
      </c>
      <c r="Y42" s="60">
        <f t="shared" si="7"/>
      </c>
      <c r="Z42" s="152">
        <f t="shared" si="8"/>
        <v>0</v>
      </c>
      <c r="AA42" s="152">
        <f t="shared" si="9"/>
      </c>
      <c r="AB42" s="60">
        <f t="shared" si="10"/>
      </c>
      <c r="AC42" s="60">
        <f t="shared" si="11"/>
        <v>0</v>
      </c>
      <c r="AD42" s="60">
        <f t="shared" si="18"/>
      </c>
      <c r="AE42" s="153">
        <f>IF(Y42="","",IF(L42&gt;$F$11,AE41,IF(W42&lt;2008,13%,LOOKUP(W42,$L$5:$L$9,$M$5:M$9))))</f>
      </c>
      <c r="AF42" s="152">
        <f t="shared" si="19"/>
      </c>
      <c r="AG42" s="60">
        <f t="shared" si="20"/>
      </c>
      <c r="AH42" s="155">
        <f t="shared" si="21"/>
      </c>
      <c r="AI42" s="137">
        <f t="shared" si="12"/>
      </c>
      <c r="AJ42" s="60">
        <f t="shared" si="22"/>
      </c>
      <c r="AK42" s="152">
        <f t="shared" si="23"/>
        <v>0</v>
      </c>
      <c r="AL42" s="152">
        <f t="shared" si="24"/>
      </c>
      <c r="AM42" s="60">
        <f t="shared" si="25"/>
      </c>
      <c r="AN42" s="60">
        <f t="shared" si="26"/>
        <v>0</v>
      </c>
      <c r="AO42" s="156">
        <f t="shared" si="27"/>
      </c>
      <c r="AP42" s="153">
        <f t="shared" si="13"/>
      </c>
      <c r="AQ42" s="152">
        <f t="shared" si="28"/>
      </c>
      <c r="AR42" s="157">
        <f t="shared" si="29"/>
      </c>
      <c r="AS42" s="60">
        <v>23</v>
      </c>
    </row>
    <row r="43" spans="1:45" ht="13.5" thickBot="1">
      <c r="A43" s="45" t="s">
        <v>73</v>
      </c>
      <c r="B43" s="45"/>
      <c r="C43" s="45"/>
      <c r="D43" s="169"/>
      <c r="E43" s="393">
        <f>SUM(E39-E40-E41)</f>
        <v>0</v>
      </c>
      <c r="F43" s="394"/>
      <c r="G43" s="291"/>
      <c r="H43" s="17"/>
      <c r="I43" s="80"/>
      <c r="J43" s="17"/>
      <c r="K43" s="17"/>
      <c r="L43" s="132">
        <f t="shared" si="14"/>
      </c>
      <c r="M43" s="351">
        <f t="shared" si="0"/>
      </c>
      <c r="N43" s="331">
        <f t="shared" si="1"/>
      </c>
      <c r="O43" s="358">
        <f t="shared" si="2"/>
        <v>0</v>
      </c>
      <c r="P43" s="358">
        <f t="shared" si="3"/>
      </c>
      <c r="Q43" s="331">
        <f t="shared" si="15"/>
      </c>
      <c r="R43" s="349">
        <f t="shared" si="4"/>
        <v>0</v>
      </c>
      <c r="S43" s="349">
        <f t="shared" si="5"/>
      </c>
      <c r="T43" s="153">
        <f>IF(Q43="","",IF(L43&gt;$F$11,T42,IF(L43&lt;2008,13%,LOOKUP(L43,$L$5:$L$9,$M$5:M$9))))</f>
      </c>
      <c r="U43" s="154">
        <f t="shared" si="30"/>
      </c>
      <c r="V43" s="316">
        <f t="shared" si="16"/>
      </c>
      <c r="W43" s="155">
        <f t="shared" si="17"/>
      </c>
      <c r="X43" s="137">
        <f t="shared" si="6"/>
      </c>
      <c r="Y43" s="60">
        <f t="shared" si="7"/>
      </c>
      <c r="Z43" s="152">
        <f t="shared" si="8"/>
        <v>0</v>
      </c>
      <c r="AA43" s="152">
        <f t="shared" si="9"/>
      </c>
      <c r="AB43" s="60">
        <f t="shared" si="10"/>
      </c>
      <c r="AC43" s="60">
        <f t="shared" si="11"/>
        <v>0</v>
      </c>
      <c r="AD43" s="60">
        <f t="shared" si="18"/>
      </c>
      <c r="AE43" s="153">
        <f>IF(Y43="","",IF(L43&gt;$F$11,AE42,IF(W43&lt;2008,13%,LOOKUP(W43,$L$5:$L$9,$M$5:M$9))))</f>
      </c>
      <c r="AF43" s="152">
        <f t="shared" si="19"/>
      </c>
      <c r="AG43" s="60">
        <f t="shared" si="20"/>
      </c>
      <c r="AH43" s="155">
        <f t="shared" si="21"/>
      </c>
      <c r="AI43" s="137">
        <f t="shared" si="12"/>
      </c>
      <c r="AJ43" s="60">
        <f t="shared" si="22"/>
      </c>
      <c r="AK43" s="152">
        <f t="shared" si="23"/>
        <v>0</v>
      </c>
      <c r="AL43" s="152">
        <f t="shared" si="24"/>
      </c>
      <c r="AM43" s="60">
        <f t="shared" si="25"/>
      </c>
      <c r="AN43" s="60">
        <f t="shared" si="26"/>
        <v>0</v>
      </c>
      <c r="AO43" s="156">
        <f t="shared" si="27"/>
      </c>
      <c r="AP43" s="153">
        <f t="shared" si="13"/>
      </c>
      <c r="AQ43" s="152">
        <f t="shared" si="28"/>
      </c>
      <c r="AR43" s="157">
        <f t="shared" si="29"/>
      </c>
      <c r="AS43" s="60">
        <v>24</v>
      </c>
    </row>
    <row r="44" spans="1:45" ht="12.75">
      <c r="A44" s="17"/>
      <c r="B44" s="17"/>
      <c r="C44" s="17"/>
      <c r="D44" s="17"/>
      <c r="E44" s="17"/>
      <c r="F44" s="17"/>
      <c r="G44" s="291"/>
      <c r="H44" s="17"/>
      <c r="I44" s="17"/>
      <c r="J44" s="17"/>
      <c r="K44" s="17"/>
      <c r="L44" s="132">
        <f t="shared" si="14"/>
      </c>
      <c r="M44" s="351">
        <f t="shared" si="0"/>
      </c>
      <c r="N44" s="331">
        <f t="shared" si="1"/>
      </c>
      <c r="O44" s="358">
        <f t="shared" si="2"/>
        <v>0</v>
      </c>
      <c r="P44" s="358">
        <f t="shared" si="3"/>
      </c>
      <c r="Q44" s="331">
        <f t="shared" si="15"/>
      </c>
      <c r="R44" s="349">
        <f t="shared" si="4"/>
        <v>0</v>
      </c>
      <c r="S44" s="349">
        <f t="shared" si="5"/>
      </c>
      <c r="T44" s="153">
        <f>IF(Q44="","",IF(L44&gt;$F$11,T43,IF(L44&lt;2008,13%,LOOKUP(L44,$L$5:$L$9,$M$5:M$9))))</f>
      </c>
      <c r="U44" s="154">
        <f t="shared" si="30"/>
      </c>
      <c r="V44" s="316">
        <f t="shared" si="16"/>
      </c>
      <c r="W44" s="155">
        <f t="shared" si="17"/>
      </c>
      <c r="X44" s="137">
        <f t="shared" si="6"/>
      </c>
      <c r="Y44" s="60">
        <f t="shared" si="7"/>
      </c>
      <c r="Z44" s="152">
        <f t="shared" si="8"/>
        <v>0</v>
      </c>
      <c r="AA44" s="152">
        <f t="shared" si="9"/>
      </c>
      <c r="AB44" s="60">
        <f t="shared" si="10"/>
      </c>
      <c r="AC44" s="60">
        <f t="shared" si="11"/>
        <v>0</v>
      </c>
      <c r="AD44" s="60">
        <f t="shared" si="18"/>
      </c>
      <c r="AE44" s="153">
        <f>IF(Y44="","",IF(L44&gt;$F$11,AE43,IF(W44&lt;2008,13%,LOOKUP(W44,$L$5:$L$9,$M$5:M$9))))</f>
      </c>
      <c r="AF44" s="152">
        <f t="shared" si="19"/>
      </c>
      <c r="AG44" s="60">
        <f t="shared" si="20"/>
      </c>
      <c r="AH44" s="155">
        <f t="shared" si="21"/>
      </c>
      <c r="AI44" s="137">
        <f t="shared" si="12"/>
      </c>
      <c r="AJ44" s="60">
        <f t="shared" si="22"/>
      </c>
      <c r="AK44" s="152">
        <f t="shared" si="23"/>
        <v>0</v>
      </c>
      <c r="AL44" s="152">
        <f t="shared" si="24"/>
      </c>
      <c r="AM44" s="60">
        <f t="shared" si="25"/>
      </c>
      <c r="AN44" s="60">
        <f t="shared" si="26"/>
        <v>0</v>
      </c>
      <c r="AO44" s="156">
        <f t="shared" si="27"/>
      </c>
      <c r="AP44" s="153">
        <f t="shared" si="13"/>
      </c>
      <c r="AQ44" s="152">
        <f t="shared" si="28"/>
      </c>
      <c r="AR44" s="157">
        <f t="shared" si="29"/>
      </c>
      <c r="AS44" s="60">
        <v>25</v>
      </c>
    </row>
    <row r="45" spans="1:4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32">
        <f t="shared" si="14"/>
      </c>
      <c r="M45" s="351">
        <f t="shared" si="0"/>
      </c>
      <c r="N45" s="331">
        <f t="shared" si="1"/>
      </c>
      <c r="O45" s="358">
        <f t="shared" si="2"/>
        <v>0</v>
      </c>
      <c r="P45" s="358">
        <f t="shared" si="3"/>
      </c>
      <c r="Q45" s="331">
        <f t="shared" si="15"/>
      </c>
      <c r="R45" s="349">
        <f t="shared" si="4"/>
        <v>0</v>
      </c>
      <c r="S45" s="349">
        <f t="shared" si="5"/>
      </c>
      <c r="T45" s="153">
        <f>IF(Q45="","",IF(L45&gt;$F$11,T44,IF(L45&lt;2008,13%,LOOKUP(L45,$L$5:$L$9,$M$5:M$9))))</f>
      </c>
      <c r="U45" s="154">
        <f t="shared" si="30"/>
      </c>
      <c r="V45" s="316">
        <f t="shared" si="16"/>
      </c>
      <c r="W45" s="155">
        <f t="shared" si="17"/>
      </c>
      <c r="X45" s="137">
        <f t="shared" si="6"/>
      </c>
      <c r="Y45" s="60">
        <f t="shared" si="7"/>
      </c>
      <c r="Z45" s="152">
        <f t="shared" si="8"/>
        <v>0</v>
      </c>
      <c r="AA45" s="152">
        <f t="shared" si="9"/>
      </c>
      <c r="AB45" s="60">
        <f t="shared" si="10"/>
      </c>
      <c r="AC45" s="60">
        <f t="shared" si="11"/>
        <v>0</v>
      </c>
      <c r="AD45" s="60">
        <f t="shared" si="18"/>
      </c>
      <c r="AE45" s="153">
        <f>IF(Y45="","",IF(L45&gt;$F$11,AE44,IF(W45&lt;2008,13%,LOOKUP(W45,$L$5:$L$9,$M$5:M$9))))</f>
      </c>
      <c r="AF45" s="152">
        <f t="shared" si="19"/>
      </c>
      <c r="AG45" s="60">
        <f t="shared" si="20"/>
      </c>
      <c r="AH45" s="155">
        <f t="shared" si="21"/>
      </c>
      <c r="AI45" s="137">
        <f t="shared" si="12"/>
      </c>
      <c r="AJ45" s="60">
        <f t="shared" si="22"/>
      </c>
      <c r="AK45" s="152">
        <f t="shared" si="23"/>
        <v>0</v>
      </c>
      <c r="AL45" s="152">
        <f t="shared" si="24"/>
      </c>
      <c r="AM45" s="60">
        <f t="shared" si="25"/>
      </c>
      <c r="AN45" s="60">
        <f t="shared" si="26"/>
        <v>0</v>
      </c>
      <c r="AO45" s="156">
        <f t="shared" si="27"/>
      </c>
      <c r="AP45" s="153">
        <f t="shared" si="13"/>
      </c>
      <c r="AQ45" s="152">
        <f t="shared" si="28"/>
      </c>
      <c r="AR45" s="157">
        <f t="shared" si="29"/>
      </c>
      <c r="AS45" s="60">
        <v>26</v>
      </c>
    </row>
    <row r="46" spans="1:45" ht="12.75">
      <c r="A46" s="4" t="s">
        <v>74</v>
      </c>
      <c r="B46" s="17"/>
      <c r="C46" s="310">
        <f ca="1">TODAY()</f>
        <v>45365</v>
      </c>
      <c r="D46" s="17"/>
      <c r="E46" s="17"/>
      <c r="F46" s="17"/>
      <c r="G46" s="17"/>
      <c r="H46" s="17"/>
      <c r="I46" s="17"/>
      <c r="J46" s="17"/>
      <c r="K46" s="17"/>
      <c r="L46" s="132">
        <f t="shared" si="14"/>
      </c>
      <c r="M46" s="351">
        <f t="shared" si="0"/>
      </c>
      <c r="N46" s="331">
        <f t="shared" si="1"/>
      </c>
      <c r="O46" s="358">
        <f t="shared" si="2"/>
        <v>0</v>
      </c>
      <c r="P46" s="358">
        <f t="shared" si="3"/>
      </c>
      <c r="Q46" s="331">
        <f t="shared" si="15"/>
      </c>
      <c r="R46" s="349">
        <f t="shared" si="4"/>
        <v>0</v>
      </c>
      <c r="S46" s="349">
        <f t="shared" si="5"/>
      </c>
      <c r="T46" s="153">
        <f>IF(Q46="","",IF(L46&gt;$F$11,T45,IF(L46&lt;2008,13%,LOOKUP(L46,$L$5:$L$9,$M$5:M$9))))</f>
      </c>
      <c r="U46" s="154">
        <f t="shared" si="30"/>
      </c>
      <c r="V46" s="316">
        <f t="shared" si="16"/>
      </c>
      <c r="W46" s="155">
        <f t="shared" si="17"/>
      </c>
      <c r="X46" s="137">
        <f t="shared" si="6"/>
      </c>
      <c r="Y46" s="60">
        <f t="shared" si="7"/>
      </c>
      <c r="Z46" s="152">
        <f t="shared" si="8"/>
        <v>0</v>
      </c>
      <c r="AA46" s="152">
        <f t="shared" si="9"/>
      </c>
      <c r="AB46" s="60">
        <f t="shared" si="10"/>
      </c>
      <c r="AC46" s="60">
        <f t="shared" si="11"/>
        <v>0</v>
      </c>
      <c r="AD46" s="60">
        <f t="shared" si="18"/>
      </c>
      <c r="AE46" s="153">
        <f>IF(Y46="","",IF(L46&gt;$F$11,AE45,IF(W46&lt;2008,13%,LOOKUP(W46,$L$5:$L$9,$M$5:M$9))))</f>
      </c>
      <c r="AF46" s="152">
        <f t="shared" si="19"/>
      </c>
      <c r="AG46" s="60">
        <f t="shared" si="20"/>
      </c>
      <c r="AH46" s="155">
        <f t="shared" si="21"/>
      </c>
      <c r="AI46" s="137">
        <f t="shared" si="12"/>
      </c>
      <c r="AJ46" s="60">
        <f t="shared" si="22"/>
      </c>
      <c r="AK46" s="152">
        <f t="shared" si="23"/>
        <v>0</v>
      </c>
      <c r="AL46" s="152">
        <f t="shared" si="24"/>
      </c>
      <c r="AM46" s="60">
        <f t="shared" si="25"/>
      </c>
      <c r="AN46" s="60">
        <f t="shared" si="26"/>
        <v>0</v>
      </c>
      <c r="AO46" s="156">
        <f t="shared" si="27"/>
      </c>
      <c r="AP46" s="153">
        <f t="shared" si="13"/>
      </c>
      <c r="AQ46" s="152">
        <f t="shared" si="28"/>
      </c>
      <c r="AR46" s="157">
        <f t="shared" si="29"/>
      </c>
      <c r="AS46" s="60">
        <v>27</v>
      </c>
    </row>
    <row r="47" spans="1:4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32">
        <f t="shared" si="14"/>
      </c>
      <c r="M47" s="351">
        <f t="shared" si="0"/>
      </c>
      <c r="N47" s="331">
        <f t="shared" si="1"/>
      </c>
      <c r="O47" s="358">
        <f t="shared" si="2"/>
        <v>0</v>
      </c>
      <c r="P47" s="358">
        <f t="shared" si="3"/>
      </c>
      <c r="Q47" s="331">
        <f t="shared" si="15"/>
      </c>
      <c r="R47" s="349">
        <f t="shared" si="4"/>
        <v>0</v>
      </c>
      <c r="S47" s="349">
        <f t="shared" si="5"/>
      </c>
      <c r="T47" s="153">
        <f>IF(Q47="","",IF(L47&gt;$F$11,T46,IF(L47&lt;2008,13%,LOOKUP(L47,$L$5:$L$9,$M$5:M$9))))</f>
      </c>
      <c r="U47" s="154">
        <f t="shared" si="30"/>
      </c>
      <c r="V47" s="316">
        <f t="shared" si="16"/>
      </c>
      <c r="W47" s="155">
        <f t="shared" si="17"/>
      </c>
      <c r="X47" s="137">
        <f t="shared" si="6"/>
      </c>
      <c r="Y47" s="60">
        <f t="shared" si="7"/>
      </c>
      <c r="Z47" s="152">
        <f t="shared" si="8"/>
        <v>0</v>
      </c>
      <c r="AA47" s="152">
        <f t="shared" si="9"/>
      </c>
      <c r="AB47" s="60">
        <f t="shared" si="10"/>
      </c>
      <c r="AC47" s="60">
        <f t="shared" si="11"/>
        <v>0</v>
      </c>
      <c r="AD47" s="60">
        <f t="shared" si="18"/>
      </c>
      <c r="AE47" s="153">
        <f>IF(Y47="","",IF(L47&gt;$F$11,AE46,IF(W47&lt;2008,13%,LOOKUP(W47,$L$5:$L$9,$M$5:M$9))))</f>
      </c>
      <c r="AF47" s="152">
        <f t="shared" si="19"/>
      </c>
      <c r="AG47" s="60">
        <f t="shared" si="20"/>
      </c>
      <c r="AH47" s="155">
        <f t="shared" si="21"/>
      </c>
      <c r="AI47" s="137">
        <f t="shared" si="12"/>
      </c>
      <c r="AJ47" s="60">
        <f t="shared" si="22"/>
      </c>
      <c r="AK47" s="152">
        <f t="shared" si="23"/>
        <v>0</v>
      </c>
      <c r="AL47" s="152">
        <f t="shared" si="24"/>
      </c>
      <c r="AM47" s="60">
        <f t="shared" si="25"/>
      </c>
      <c r="AN47" s="60">
        <f t="shared" si="26"/>
        <v>0</v>
      </c>
      <c r="AO47" s="156">
        <f t="shared" si="27"/>
      </c>
      <c r="AP47" s="153">
        <f t="shared" si="13"/>
      </c>
      <c r="AQ47" s="152">
        <f t="shared" si="28"/>
      </c>
      <c r="AR47" s="157">
        <f t="shared" si="29"/>
      </c>
      <c r="AS47" s="60">
        <v>28</v>
      </c>
    </row>
    <row r="48" spans="1:45" ht="12.75">
      <c r="A48" s="159"/>
      <c r="B48" s="17"/>
      <c r="C48" s="17"/>
      <c r="D48" s="17"/>
      <c r="E48" s="17"/>
      <c r="F48" s="17"/>
      <c r="G48" s="17"/>
      <c r="H48" s="17"/>
      <c r="I48" s="17"/>
      <c r="J48" s="377" t="s">
        <v>172</v>
      </c>
      <c r="K48" s="17"/>
      <c r="L48" s="132">
        <f t="shared" si="14"/>
      </c>
      <c r="M48" s="351">
        <f t="shared" si="0"/>
      </c>
      <c r="N48" s="331">
        <f t="shared" si="1"/>
      </c>
      <c r="O48" s="358">
        <f t="shared" si="2"/>
        <v>0</v>
      </c>
      <c r="P48" s="358">
        <f t="shared" si="3"/>
      </c>
      <c r="Q48" s="331">
        <f t="shared" si="15"/>
      </c>
      <c r="R48" s="349">
        <f t="shared" si="4"/>
        <v>0</v>
      </c>
      <c r="S48" s="349">
        <f t="shared" si="5"/>
      </c>
      <c r="T48" s="153">
        <f>IF(Q48="","",IF(L48&gt;$F$11,T47,IF(L48&lt;2008,13%,LOOKUP(L48,$L$5:$L$9,$M$5:M$9))))</f>
      </c>
      <c r="U48" s="154">
        <f t="shared" si="30"/>
      </c>
      <c r="V48" s="316">
        <f t="shared" si="16"/>
      </c>
      <c r="W48" s="155">
        <f t="shared" si="17"/>
      </c>
      <c r="X48" s="137">
        <f t="shared" si="6"/>
      </c>
      <c r="Y48" s="60">
        <f t="shared" si="7"/>
      </c>
      <c r="Z48" s="152">
        <f t="shared" si="8"/>
        <v>0</v>
      </c>
      <c r="AA48" s="152">
        <f t="shared" si="9"/>
      </c>
      <c r="AB48" s="60">
        <f t="shared" si="10"/>
      </c>
      <c r="AC48" s="60">
        <f t="shared" si="11"/>
        <v>0</v>
      </c>
      <c r="AD48" s="60">
        <f t="shared" si="18"/>
      </c>
      <c r="AE48" s="153">
        <f>IF(Y48="","",IF(L48&gt;$F$11,AE47,IF(W48&lt;2008,13%,LOOKUP(W48,$L$5:$L$9,$M$5:M$9))))</f>
      </c>
      <c r="AF48" s="152">
        <f t="shared" si="19"/>
      </c>
      <c r="AG48" s="60">
        <f t="shared" si="20"/>
      </c>
      <c r="AH48" s="155">
        <f t="shared" si="21"/>
      </c>
      <c r="AI48" s="137">
        <f t="shared" si="12"/>
      </c>
      <c r="AJ48" s="60">
        <f t="shared" si="22"/>
      </c>
      <c r="AK48" s="152">
        <f t="shared" si="23"/>
        <v>0</v>
      </c>
      <c r="AL48" s="152">
        <f t="shared" si="24"/>
      </c>
      <c r="AM48" s="60">
        <f t="shared" si="25"/>
      </c>
      <c r="AN48" s="60">
        <f t="shared" si="26"/>
        <v>0</v>
      </c>
      <c r="AO48" s="156">
        <f t="shared" si="27"/>
      </c>
      <c r="AP48" s="153">
        <f t="shared" si="13"/>
      </c>
      <c r="AQ48" s="152">
        <f t="shared" si="28"/>
      </c>
      <c r="AR48" s="157">
        <f t="shared" si="29"/>
      </c>
      <c r="AS48" s="60">
        <v>29</v>
      </c>
    </row>
    <row r="49" spans="1:45" ht="13.5" thickBot="1">
      <c r="A49" s="285"/>
      <c r="L49" s="132">
        <f t="shared" si="14"/>
      </c>
      <c r="M49" s="351"/>
      <c r="N49" s="331">
        <f t="shared" si="1"/>
      </c>
      <c r="O49" s="358">
        <f t="shared" si="2"/>
        <v>0</v>
      </c>
      <c r="P49" s="358">
        <f t="shared" si="3"/>
      </c>
      <c r="Q49" s="331">
        <f t="shared" si="15"/>
      </c>
      <c r="R49" s="349">
        <f t="shared" si="4"/>
        <v>0</v>
      </c>
      <c r="S49" s="359">
        <f t="shared" si="5"/>
      </c>
      <c r="T49" s="153">
        <f>IF(Q49="","",IF(L49&gt;$F$11,T48,IF(L49&lt;2008,13%,LOOKUP(L49,$L$5:$L$9,$M$5:M$9))))</f>
      </c>
      <c r="U49" s="171">
        <f t="shared" si="30"/>
      </c>
      <c r="V49" s="316">
        <f t="shared" si="16"/>
      </c>
      <c r="W49" s="155">
        <f t="shared" si="17"/>
      </c>
      <c r="X49" s="137" t="str">
        <f>IF(L49=$F$10,"1:a Inkf",IF(L49=$F$11,"fastst.år",""))</f>
        <v>1:a Inkf</v>
      </c>
      <c r="Y49" s="60">
        <f t="shared" si="7"/>
      </c>
      <c r="Z49" s="152">
        <f t="shared" si="8"/>
        <v>0</v>
      </c>
      <c r="AA49" s="152">
        <f t="shared" si="9"/>
      </c>
      <c r="AB49" s="60">
        <f t="shared" si="10"/>
      </c>
      <c r="AC49" s="60">
        <f t="shared" si="11"/>
        <v>0</v>
      </c>
      <c r="AD49" s="60">
        <f t="shared" si="18"/>
      </c>
      <c r="AE49" s="153">
        <f>IF(Y49="","",IF(L49&gt;$F$11,AE48,IF(W49&lt;2008,13%,LOOKUP(W49,$L$5:$L$9,$M$5:M$9))))</f>
      </c>
      <c r="AF49" s="152">
        <f t="shared" si="19"/>
      </c>
      <c r="AG49" s="60">
        <f t="shared" si="20"/>
      </c>
      <c r="AH49" s="155">
        <f t="shared" si="21"/>
      </c>
      <c r="AI49" s="137" t="str">
        <f>IF(W49=$F$10,"1:a Inkf",IF(W49=$F$11,"fastst.år",""))</f>
        <v>1:a Inkf</v>
      </c>
      <c r="AJ49" s="60">
        <f t="shared" si="22"/>
      </c>
      <c r="AK49" s="152">
        <f t="shared" si="23"/>
        <v>0</v>
      </c>
      <c r="AL49" s="152">
        <f t="shared" si="24"/>
      </c>
      <c r="AM49" s="60">
        <f t="shared" si="25"/>
      </c>
      <c r="AN49" s="60">
        <f t="shared" si="26"/>
        <v>0</v>
      </c>
      <c r="AO49" s="156">
        <f t="shared" si="27"/>
      </c>
      <c r="AP49" s="153">
        <f t="shared" si="13"/>
      </c>
      <c r="AQ49" s="152">
        <f t="shared" si="28"/>
      </c>
      <c r="AR49" s="157">
        <f t="shared" si="29"/>
      </c>
      <c r="AS49" s="60">
        <v>30</v>
      </c>
    </row>
    <row r="50" spans="1:45" ht="13.5" thickBot="1">
      <c r="A50" s="285"/>
      <c r="L50" s="172">
        <f t="shared" si="14"/>
      </c>
      <c r="M50" s="173"/>
      <c r="N50" s="173"/>
      <c r="O50" s="174">
        <f>SUM(O20:O49)</f>
        <v>0</v>
      </c>
      <c r="P50" s="371">
        <f>IF($F$16="","",IF(L50&lt;$F$10,0,IF($F$18&gt;0,$P$14,MAX(IF($D$27&gt;L50,0,($G$17-$I$16)*$D$29/30),0))))</f>
      </c>
      <c r="Q50" s="174">
        <f>IF(G$17&lt;($F$16-$H$11),$G$17,IF(L50="","",IF(AND($F$18="",$F$16=""),"",(IF(L50&lt;$H$13,"",IF($F$16&gt;0,IF(L50&lt;$F$10,0,IF($F$16&gt;$H$11,$F$16-$H$11,0)),IF($F$18&gt;0,IF(L50&lt;$F$10,0,IF($F$18&gt;$H$11,$F$18-$H$11,0)))))))))</f>
      </c>
      <c r="R50" s="174">
        <f>SUM(R20:R49)</f>
        <v>0</v>
      </c>
      <c r="S50" s="174">
        <f>SUM(S20:S49)</f>
        <v>0</v>
      </c>
      <c r="T50" s="173"/>
      <c r="U50" s="174">
        <f>SUM(U20:U49)</f>
        <v>0</v>
      </c>
      <c r="V50" s="317">
        <f>SUM(V20:V49)</f>
        <v>0</v>
      </c>
      <c r="W50" s="172"/>
      <c r="X50" s="173"/>
      <c r="Y50" s="173"/>
      <c r="Z50" s="174">
        <f>SUM(Z20:Z49)</f>
        <v>0</v>
      </c>
      <c r="AA50" s="174">
        <f>SUM(AA20:AA49)</f>
        <v>0</v>
      </c>
      <c r="AB50" s="173"/>
      <c r="AC50" s="174">
        <f>SUM(AC20:AC49)</f>
        <v>0</v>
      </c>
      <c r="AD50" s="174">
        <f>SUM(AD20:AD49)</f>
        <v>0</v>
      </c>
      <c r="AE50" s="173"/>
      <c r="AF50" s="174">
        <f>SUM(AF20:AF49)</f>
        <v>0</v>
      </c>
      <c r="AG50" s="175">
        <f>SUM(AG20:AG49)</f>
        <v>0</v>
      </c>
      <c r="AH50" s="172"/>
      <c r="AI50" s="173"/>
      <c r="AJ50" s="173"/>
      <c r="AK50" s="174">
        <f>SUM(AK20:AK49)</f>
        <v>0</v>
      </c>
      <c r="AL50" s="174">
        <f>SUM(AL20:AL49)</f>
        <v>0</v>
      </c>
      <c r="AM50" s="173"/>
      <c r="AN50" s="174">
        <f>SUM(AN20:AN49)</f>
        <v>0</v>
      </c>
      <c r="AO50" s="174">
        <f>SUM(AO20:AO49)</f>
        <v>0</v>
      </c>
      <c r="AP50" s="173"/>
      <c r="AQ50" s="174">
        <f>SUM(AQ20:AQ49)</f>
        <v>0</v>
      </c>
      <c r="AR50" s="176">
        <f>SUM(AR20:AR49)</f>
        <v>0</v>
      </c>
      <c r="AS50" s="17"/>
    </row>
    <row r="51" spans="12:45" ht="12.75">
      <c r="L51" s="17"/>
      <c r="M51" s="17"/>
      <c r="N51" s="17"/>
      <c r="O51" s="17"/>
      <c r="P51" s="17"/>
      <c r="Q51" s="123"/>
      <c r="R51" s="123"/>
      <c r="S51" s="123"/>
      <c r="T51" s="17"/>
      <c r="U51" s="17"/>
      <c r="V51" s="17"/>
      <c r="W51" s="6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71"/>
      <c r="AM51" s="71"/>
      <c r="AN51" s="17"/>
      <c r="AO51" s="17"/>
      <c r="AP51" s="152"/>
      <c r="AQ51" s="60"/>
      <c r="AR51" s="17"/>
      <c r="AS51" s="17"/>
    </row>
    <row r="52" spans="1:45" ht="12.75">
      <c r="A52" s="365"/>
      <c r="B52" s="366"/>
      <c r="C52" s="367"/>
      <c r="L52" s="291"/>
      <c r="M52" s="291"/>
      <c r="N52" s="181"/>
      <c r="O52" s="327"/>
      <c r="P52" s="327"/>
      <c r="Q52" s="181"/>
      <c r="R52" s="181"/>
      <c r="S52" s="181"/>
      <c r="T52" s="328"/>
      <c r="U52" s="181"/>
      <c r="V52" s="178"/>
      <c r="W52" s="17"/>
      <c r="X52" s="179"/>
      <c r="Y52" s="29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60"/>
      <c r="AK52" s="60"/>
      <c r="AL52" s="60"/>
      <c r="AM52" s="60"/>
      <c r="AN52" s="76"/>
      <c r="AO52" s="17"/>
      <c r="AP52" s="180"/>
      <c r="AQ52" s="17"/>
      <c r="AR52" s="179"/>
      <c r="AS52" s="29"/>
    </row>
    <row r="53" spans="1:45" ht="12.75">
      <c r="A53" s="361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3"/>
      <c r="M53" s="291"/>
      <c r="N53" s="181"/>
      <c r="O53" s="181"/>
      <c r="P53" s="181"/>
      <c r="Q53" s="291"/>
      <c r="R53" s="181"/>
      <c r="S53" s="291"/>
      <c r="T53" s="291"/>
      <c r="U53" s="181"/>
      <c r="V53" s="178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8"/>
      <c r="AQ53" s="17"/>
      <c r="AR53" s="17"/>
      <c r="AS53" s="17"/>
    </row>
    <row r="54" spans="1:45" ht="12.75">
      <c r="A54" s="361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</row>
    <row r="55" spans="1:12" ht="12.75">
      <c r="A55" s="364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</row>
    <row r="56" spans="1:12" ht="12.75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</row>
    <row r="57" spans="1:12" ht="12.75">
      <c r="A57" s="364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</row>
  </sheetData>
  <sheetProtection password="C248" sheet="1"/>
  <mergeCells count="7">
    <mergeCell ref="E40:F40"/>
    <mergeCell ref="E41:F41"/>
    <mergeCell ref="E43:F43"/>
    <mergeCell ref="C2:F2"/>
    <mergeCell ref="C4:F4"/>
    <mergeCell ref="C6:F6"/>
    <mergeCell ref="E39:F3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1">
      <selection activeCell="G1" sqref="G1"/>
    </sheetView>
  </sheetViews>
  <sheetFormatPr defaultColWidth="9.140625" defaultRowHeight="12.75"/>
  <cols>
    <col min="3" max="3" width="9.421875" style="0" customWidth="1"/>
  </cols>
  <sheetData>
    <row r="1" spans="1:30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0"/>
      <c r="N1" s="17"/>
      <c r="O1" s="17"/>
      <c r="P1" s="17"/>
      <c r="Q1" s="17"/>
      <c r="R1" s="17"/>
      <c r="S1" s="339"/>
      <c r="T1" s="333"/>
      <c r="U1" s="333"/>
      <c r="V1" s="333"/>
      <c r="W1" s="17"/>
      <c r="X1" s="17"/>
      <c r="Y1" s="17"/>
      <c r="Z1" s="17"/>
      <c r="AA1" s="17"/>
      <c r="AB1" s="17"/>
      <c r="AC1" s="17"/>
      <c r="AD1" s="17"/>
    </row>
    <row r="2" spans="1:30" ht="12.75">
      <c r="A2" s="45" t="s">
        <v>28</v>
      </c>
      <c r="B2" s="17"/>
      <c r="C2" s="395"/>
      <c r="D2" s="396"/>
      <c r="E2" s="396"/>
      <c r="F2" s="397"/>
      <c r="G2" s="17"/>
      <c r="H2" s="358"/>
      <c r="I2" s="17"/>
      <c r="J2" s="17"/>
      <c r="K2" s="17"/>
      <c r="L2" s="17"/>
      <c r="M2" s="17"/>
      <c r="N2" s="17"/>
      <c r="O2" s="17"/>
      <c r="P2" s="17"/>
      <c r="Q2" s="17"/>
      <c r="R2" s="17"/>
      <c r="S2" s="333"/>
      <c r="T2" s="333"/>
      <c r="U2" s="333"/>
      <c r="V2" s="333"/>
      <c r="W2" s="17"/>
      <c r="X2" s="17"/>
      <c r="Y2" s="17"/>
      <c r="Z2" s="17"/>
      <c r="AA2" s="17"/>
      <c r="AB2" s="17"/>
      <c r="AC2" s="17"/>
      <c r="AD2" s="17"/>
    </row>
    <row r="3" spans="1:30" ht="12.75">
      <c r="A3" s="17"/>
      <c r="B3" s="17"/>
      <c r="C3" s="17"/>
      <c r="D3" s="17"/>
      <c r="E3" s="17"/>
      <c r="F3" s="17"/>
      <c r="G3" s="17"/>
      <c r="H3" s="358"/>
      <c r="I3" s="17"/>
      <c r="J3" s="17"/>
      <c r="K3" s="17"/>
      <c r="L3" s="17"/>
      <c r="M3" s="17"/>
      <c r="N3" s="17"/>
      <c r="O3" s="17"/>
      <c r="P3" s="17"/>
      <c r="Q3" s="17"/>
      <c r="R3" s="17"/>
      <c r="S3" s="333"/>
      <c r="T3" s="333"/>
      <c r="U3" s="333"/>
      <c r="V3" s="333"/>
      <c r="W3" s="60"/>
      <c r="X3" s="17"/>
      <c r="Y3" s="17"/>
      <c r="Z3" s="17"/>
      <c r="AA3" s="17"/>
      <c r="AB3" s="17"/>
      <c r="AC3" s="17"/>
      <c r="AD3" s="17"/>
    </row>
    <row r="4" spans="1:30" ht="12.75">
      <c r="A4" s="45" t="s">
        <v>29</v>
      </c>
      <c r="B4" s="17"/>
      <c r="C4" s="398"/>
      <c r="D4" s="399"/>
      <c r="E4" s="399"/>
      <c r="F4" s="400"/>
      <c r="G4" s="17"/>
      <c r="H4" s="17"/>
      <c r="I4" s="17"/>
      <c r="J4" s="17"/>
      <c r="K4" s="17"/>
      <c r="L4" s="17" t="s">
        <v>32</v>
      </c>
      <c r="M4" s="17"/>
      <c r="N4" s="44"/>
      <c r="O4" s="92" t="s">
        <v>33</v>
      </c>
      <c r="P4" s="92"/>
      <c r="Q4" s="51"/>
      <c r="R4" s="44"/>
      <c r="S4" s="333"/>
      <c r="T4" s="333"/>
      <c r="U4" s="333"/>
      <c r="V4" s="333"/>
      <c r="W4" s="60"/>
      <c r="X4" s="71"/>
      <c r="Y4" s="17"/>
      <c r="Z4" s="17"/>
      <c r="AA4" s="17"/>
      <c r="AB4" s="17"/>
      <c r="AC4" s="17"/>
      <c r="AD4" s="17"/>
    </row>
    <row r="5" spans="1:3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75">
        <v>2008</v>
      </c>
      <c r="M5" s="88">
        <v>1</v>
      </c>
      <c r="N5" s="44"/>
      <c r="O5" s="44" t="s">
        <v>34</v>
      </c>
      <c r="P5" s="44"/>
      <c r="Q5" s="91">
        <f>SUM(F12)</f>
        <v>0</v>
      </c>
      <c r="R5" s="44"/>
      <c r="S5" s="332"/>
      <c r="T5" s="333"/>
      <c r="U5" s="340"/>
      <c r="V5" s="333"/>
      <c r="W5" s="60"/>
      <c r="X5" s="17"/>
      <c r="Y5" s="17"/>
      <c r="Z5" s="17"/>
      <c r="AA5" s="17"/>
      <c r="AB5" s="17"/>
      <c r="AC5" s="17"/>
      <c r="AD5" s="17"/>
    </row>
    <row r="6" spans="1:30" ht="12.75">
      <c r="A6" s="45" t="s">
        <v>30</v>
      </c>
      <c r="B6" s="17"/>
      <c r="C6" s="398"/>
      <c r="D6" s="399"/>
      <c r="E6" s="399"/>
      <c r="F6" s="400"/>
      <c r="G6" s="17"/>
      <c r="H6" s="17"/>
      <c r="I6" s="17"/>
      <c r="J6" s="17"/>
      <c r="K6" s="17"/>
      <c r="L6" s="77">
        <v>2009</v>
      </c>
      <c r="M6" s="89">
        <v>1</v>
      </c>
      <c r="N6" s="44"/>
      <c r="O6" s="44" t="s">
        <v>36</v>
      </c>
      <c r="P6" s="44"/>
      <c r="Q6" s="91">
        <f>IF(Q5=0,0,Q5+65)</f>
        <v>0</v>
      </c>
      <c r="R6" s="44"/>
      <c r="S6" s="333"/>
      <c r="T6" s="333"/>
      <c r="U6" s="333"/>
      <c r="V6" s="333"/>
      <c r="W6" s="60"/>
      <c r="X6" s="17"/>
      <c r="Y6" s="17"/>
      <c r="Z6" s="17"/>
      <c r="AA6" s="17"/>
      <c r="AB6" s="17"/>
      <c r="AC6" s="17"/>
      <c r="AD6" s="17"/>
    </row>
    <row r="7" spans="1:30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77">
        <v>2010</v>
      </c>
      <c r="M7" s="89">
        <v>1</v>
      </c>
      <c r="N7" s="44"/>
      <c r="O7" s="44" t="s">
        <v>39</v>
      </c>
      <c r="P7" s="44"/>
      <c r="Q7" s="91">
        <f>SUM(F11)</f>
        <v>0</v>
      </c>
      <c r="R7" s="44"/>
      <c r="S7" s="333"/>
      <c r="T7" s="333"/>
      <c r="U7" s="341"/>
      <c r="V7" s="333"/>
      <c r="W7" s="60"/>
      <c r="X7" s="71"/>
      <c r="Y7" s="17"/>
      <c r="Z7" s="17"/>
      <c r="AA7" s="17"/>
      <c r="AB7" s="17"/>
      <c r="AC7" s="17"/>
      <c r="AD7" s="17"/>
    </row>
    <row r="8" spans="1:40" ht="12.75">
      <c r="A8" s="81" t="s">
        <v>169</v>
      </c>
      <c r="B8" s="81"/>
      <c r="C8" s="17"/>
      <c r="D8" s="81"/>
      <c r="E8" s="81"/>
      <c r="F8" s="17"/>
      <c r="G8" s="17"/>
      <c r="H8" s="17"/>
      <c r="I8" s="17"/>
      <c r="J8" s="17"/>
      <c r="K8" s="17"/>
      <c r="L8" s="77">
        <v>2011</v>
      </c>
      <c r="M8" s="89">
        <v>1</v>
      </c>
      <c r="N8" s="44"/>
      <c r="O8" s="44" t="s">
        <v>41</v>
      </c>
      <c r="P8" s="44"/>
      <c r="Q8" s="91">
        <f>SUM(F13)</f>
        <v>30</v>
      </c>
      <c r="R8" s="44"/>
      <c r="S8" s="333"/>
      <c r="T8" s="333"/>
      <c r="U8" s="342"/>
      <c r="V8" s="333"/>
      <c r="W8" s="334"/>
      <c r="X8" s="4"/>
      <c r="Y8" s="17"/>
      <c r="Z8" s="81"/>
      <c r="AA8" s="17"/>
      <c r="AB8" s="17"/>
      <c r="AC8" s="17"/>
      <c r="AD8" s="17"/>
      <c r="AF8" s="104"/>
      <c r="AG8" s="106"/>
      <c r="AH8" s="107"/>
      <c r="AI8" s="108"/>
      <c r="AJ8" s="109"/>
      <c r="AK8" s="110"/>
      <c r="AL8" s="110"/>
      <c r="AM8" s="110"/>
      <c r="AN8" s="110"/>
    </row>
    <row r="9" spans="1:42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78">
        <v>2012</v>
      </c>
      <c r="M9" s="90">
        <v>1</v>
      </c>
      <c r="N9" s="44"/>
      <c r="O9" s="93" t="s">
        <v>44</v>
      </c>
      <c r="P9" s="93"/>
      <c r="Q9" s="94">
        <f>IF(Q7+Q8&gt;=Q6,Q6,Q7+Q8-1)</f>
        <v>0</v>
      </c>
      <c r="R9" s="44"/>
      <c r="S9" s="333"/>
      <c r="T9" s="331"/>
      <c r="U9" s="333"/>
      <c r="V9" s="332"/>
      <c r="W9" s="17"/>
      <c r="X9" s="17"/>
      <c r="Y9" s="17"/>
      <c r="Z9" s="17"/>
      <c r="AA9" s="17"/>
      <c r="AB9" s="17"/>
      <c r="AC9" s="17"/>
      <c r="AD9" s="17"/>
      <c r="AH9" s="107"/>
      <c r="AI9" s="110"/>
      <c r="AJ9" s="111"/>
      <c r="AK9" s="110"/>
      <c r="AL9" s="110"/>
      <c r="AM9" s="110"/>
      <c r="AN9" s="110"/>
      <c r="AP9" s="112"/>
    </row>
    <row r="10" spans="1:45" ht="15.75">
      <c r="A10" s="17" t="s">
        <v>35</v>
      </c>
      <c r="B10" s="17"/>
      <c r="C10" s="17"/>
      <c r="D10" s="17"/>
      <c r="E10" s="17"/>
      <c r="F10" s="73"/>
      <c r="G10" s="59"/>
      <c r="H10" s="17"/>
      <c r="I10" s="17"/>
      <c r="J10" s="17"/>
      <c r="K10" s="17"/>
      <c r="L10" s="26"/>
      <c r="M10" s="17"/>
      <c r="N10" s="44"/>
      <c r="O10" s="93" t="s">
        <v>46</v>
      </c>
      <c r="P10" s="93"/>
      <c r="Q10" s="94">
        <f>IF(Q9-Q7&gt;=Q8,Q7,Q9-Q8+1)</f>
        <v>-29</v>
      </c>
      <c r="R10" s="49">
        <f>SUM(Q9-Q10+1)</f>
        <v>30</v>
      </c>
      <c r="S10" s="333"/>
      <c r="T10" s="343"/>
      <c r="U10" s="344"/>
      <c r="V10" s="336"/>
      <c r="W10" s="17"/>
      <c r="X10" s="17"/>
      <c r="Y10" s="17"/>
      <c r="Z10" s="59"/>
      <c r="AA10" s="17"/>
      <c r="AB10" s="17"/>
      <c r="AC10" s="17"/>
      <c r="AD10" s="17"/>
      <c r="AF10" s="104"/>
      <c r="AG10" s="106"/>
      <c r="AH10" s="107"/>
      <c r="AI10" s="110"/>
      <c r="AJ10" s="111"/>
      <c r="AK10" s="110"/>
      <c r="AL10" s="110"/>
      <c r="AM10" s="110"/>
      <c r="AN10" s="110"/>
      <c r="AS10" s="104"/>
    </row>
    <row r="11" spans="1:45" ht="12.75">
      <c r="A11" s="17" t="s">
        <v>37</v>
      </c>
      <c r="B11" s="17"/>
      <c r="C11" s="17"/>
      <c r="D11" s="17"/>
      <c r="E11" s="17"/>
      <c r="F11" s="73"/>
      <c r="G11" s="82" t="s">
        <v>38</v>
      </c>
      <c r="H11" s="199">
        <f>IF(F11=0,0,LOOKUP(F11,Basbelopp!A4:A66,Basbelopp!B4:B66)*7.5)</f>
        <v>0</v>
      </c>
      <c r="I11" s="57"/>
      <c r="J11" s="17"/>
      <c r="K11" s="17"/>
      <c r="L11" s="17"/>
      <c r="M11" s="17"/>
      <c r="N11" s="17"/>
      <c r="O11" s="17"/>
      <c r="P11" s="17"/>
      <c r="Q11" s="17"/>
      <c r="R11" s="17"/>
      <c r="S11" s="333"/>
      <c r="T11" s="333"/>
      <c r="U11" s="336"/>
      <c r="V11" s="345"/>
      <c r="W11" s="17"/>
      <c r="X11" s="17"/>
      <c r="Y11" s="17"/>
      <c r="Z11" s="59"/>
      <c r="AA11" s="54"/>
      <c r="AB11" s="57"/>
      <c r="AC11" s="17"/>
      <c r="AD11" s="17"/>
      <c r="AF11" s="104"/>
      <c r="AG11" s="113"/>
      <c r="AH11" s="107"/>
      <c r="AI11" s="110"/>
      <c r="AJ11" s="111"/>
      <c r="AL11" s="110"/>
      <c r="AM11" s="110"/>
      <c r="AN11" s="110"/>
      <c r="AS11" s="104"/>
    </row>
    <row r="12" spans="1:45" ht="12.75">
      <c r="A12" s="17" t="s">
        <v>40</v>
      </c>
      <c r="B12" s="17"/>
      <c r="C12" s="17"/>
      <c r="D12" s="17"/>
      <c r="E12" s="17"/>
      <c r="F12" s="73"/>
      <c r="G12" s="83" t="s">
        <v>36</v>
      </c>
      <c r="H12" s="84">
        <f>SUM(F12+65)</f>
        <v>65</v>
      </c>
      <c r="I12" s="114"/>
      <c r="J12" s="17"/>
      <c r="K12" s="17"/>
      <c r="L12" s="17"/>
      <c r="M12" s="333"/>
      <c r="N12" s="37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59"/>
      <c r="AA12" s="54"/>
      <c r="AB12" s="114"/>
      <c r="AC12" s="17"/>
      <c r="AD12" s="17"/>
      <c r="AF12" s="104"/>
      <c r="AG12" s="106"/>
      <c r="AH12" s="107"/>
      <c r="AI12" s="110"/>
      <c r="AJ12" s="111"/>
      <c r="AK12" s="115"/>
      <c r="AL12" s="110"/>
      <c r="AM12" s="110"/>
      <c r="AN12" s="110"/>
      <c r="AS12" s="104"/>
    </row>
    <row r="13" spans="1:45" ht="12.75">
      <c r="A13" s="17" t="s">
        <v>42</v>
      </c>
      <c r="B13" s="17"/>
      <c r="C13" s="17"/>
      <c r="D13" s="17"/>
      <c r="E13" s="17"/>
      <c r="F13" s="67">
        <v>30</v>
      </c>
      <c r="G13" s="85" t="s">
        <v>43</v>
      </c>
      <c r="H13" s="86">
        <f>IF(F13="","",Q10)</f>
        <v>-29</v>
      </c>
      <c r="I13" s="86"/>
      <c r="J13" s="87">
        <f>IF(F13="","",Q9)</f>
        <v>0</v>
      </c>
      <c r="K13" s="17"/>
      <c r="L13" s="368" t="s">
        <v>167</v>
      </c>
      <c r="M13" s="99"/>
      <c r="N13" s="99"/>
      <c r="O13" s="370">
        <f>IF(F18="","",SUM(V13-S13))</f>
      </c>
      <c r="P13" s="370">
        <f>IF(F18="","",SUM(V13-S13))</f>
      </c>
      <c r="Q13" s="369"/>
      <c r="R13" s="369"/>
      <c r="S13" s="370">
        <f>IF(AND(F18&lt;F16-H11,F16&gt;H11),F18*68%,IF(F16&lt;H11,0,IF(F18&gt;H11,(F16-H11)*68%,((F16-H11)*68%))))</f>
        <v>0</v>
      </c>
      <c r="T13" s="369"/>
      <c r="U13" s="369"/>
      <c r="V13" s="220">
        <f>IF(AND(F18&lt;F16-H11,F16&gt;H11),F18*68%,IF(F18="",0,IF(F16&lt;H11,F18*13%,IF(F18&gt;H11,((F16-H11)*68%)+((F18-(F16-H11))*13%),SUM((F18-(F16-H11))*13%)+((F16-H11)*68%)))))</f>
        <v>0</v>
      </c>
      <c r="W13" s="17"/>
      <c r="X13" s="17"/>
      <c r="Y13" s="17"/>
      <c r="Z13" s="59"/>
      <c r="AA13" s="26"/>
      <c r="AB13" s="54"/>
      <c r="AC13" s="335"/>
      <c r="AD13" s="17"/>
      <c r="AF13" s="104"/>
      <c r="AG13" s="106"/>
      <c r="AH13" s="107"/>
      <c r="AI13" s="116"/>
      <c r="AJ13" s="117"/>
      <c r="AK13" s="110"/>
      <c r="AL13" s="110"/>
      <c r="AM13" s="110"/>
      <c r="AN13" s="110"/>
      <c r="AS13" s="118"/>
    </row>
    <row r="14" spans="1:45" ht="12.75">
      <c r="A14" s="45" t="s">
        <v>45</v>
      </c>
      <c r="B14" s="17"/>
      <c r="C14" s="17"/>
      <c r="D14" s="17"/>
      <c r="E14" s="17"/>
      <c r="F14" s="119"/>
      <c r="G14" s="62"/>
      <c r="H14" s="49">
        <f>SUM(H11)</f>
        <v>0</v>
      </c>
      <c r="I14" s="44">
        <f>MAX(F14-H14,0)</f>
        <v>0</v>
      </c>
      <c r="J14" s="44"/>
      <c r="K14" s="17"/>
      <c r="L14" s="264" t="s">
        <v>85</v>
      </c>
      <c r="M14" s="228"/>
      <c r="N14" s="228"/>
      <c r="O14" s="212">
        <f>IF(F18="","",SUM(P13/30))</f>
      </c>
      <c r="P14" s="212">
        <f>IF(F18="","",SUM(P13/30))</f>
      </c>
      <c r="Q14" s="212"/>
      <c r="R14" s="212"/>
      <c r="S14" s="212">
        <f>IF(F18="","",SUM(S13/30))</f>
      </c>
      <c r="T14" s="212"/>
      <c r="U14" s="212"/>
      <c r="V14" s="229">
        <f>IF(F18="","",SUM(V13/30))</f>
      </c>
      <c r="W14" s="60"/>
      <c r="X14" s="17"/>
      <c r="Y14" s="17"/>
      <c r="Z14" s="62"/>
      <c r="AA14" s="49"/>
      <c r="AB14" s="44"/>
      <c r="AC14" s="17"/>
      <c r="AD14" s="17"/>
      <c r="AH14" s="107"/>
      <c r="AI14" s="116"/>
      <c r="AJ14" s="117"/>
      <c r="AK14" s="120"/>
      <c r="AL14" s="110"/>
      <c r="AM14" s="110"/>
      <c r="AN14" s="110"/>
      <c r="AS14" s="104"/>
    </row>
    <row r="15" spans="1:45" ht="12.75">
      <c r="A15" s="45" t="s">
        <v>47</v>
      </c>
      <c r="B15" s="17"/>
      <c r="C15" s="17"/>
      <c r="D15" s="17"/>
      <c r="E15" s="17"/>
      <c r="F15" s="17"/>
      <c r="G15" s="62"/>
      <c r="H15" s="49">
        <f>SUM(H11)</f>
        <v>0</v>
      </c>
      <c r="I15" s="44">
        <f>MAX(F18-H15,0)</f>
        <v>0</v>
      </c>
      <c r="J15" s="44"/>
      <c r="K15" s="17"/>
      <c r="L15" s="368" t="s">
        <v>167</v>
      </c>
      <c r="M15" s="99" t="s">
        <v>168</v>
      </c>
      <c r="N15" s="99"/>
      <c r="O15" s="375">
        <f>SUM(D27)</f>
        <v>0</v>
      </c>
      <c r="P15" s="370">
        <f>IF(F18="","",SUM(V15-S15))</f>
      </c>
      <c r="Q15" s="99"/>
      <c r="R15" s="99"/>
      <c r="S15" s="370">
        <f>IF(AND(F18&lt;F16-H11,F16&gt;H11),F18*$D$30,IF(F16&lt;H11,0,IF(F18&gt;H11,(F16-H11)*$D$30,((F16-H11)*D30))))</f>
        <v>0</v>
      </c>
      <c r="T15" s="99"/>
      <c r="U15" s="99"/>
      <c r="V15" s="220">
        <f>IF(AND(F18&lt;F16-H11,F16&gt;H11),F18*$D$30,IF(F18="",0,IF(F16&lt;H11,F18*$D$29,IF(F18&gt;H11,((F16-H11)*$D$30)+((F18-(F16-H11))*$D$29),SUM((F18-(F16-H11))*$D$29)+((F16-H11)*$D$30)))))</f>
        <v>0</v>
      </c>
      <c r="W15" s="17"/>
      <c r="X15" s="17"/>
      <c r="Y15" s="17"/>
      <c r="Z15" s="62"/>
      <c r="AA15" s="49"/>
      <c r="AB15" s="44"/>
      <c r="AC15" s="17"/>
      <c r="AD15" s="17"/>
      <c r="AH15" s="107"/>
      <c r="AI15" s="110"/>
      <c r="AJ15" s="110"/>
      <c r="AK15" s="110"/>
      <c r="AL15" s="110"/>
      <c r="AM15" s="110"/>
      <c r="AN15" s="110"/>
      <c r="AO15" s="112"/>
      <c r="AR15" s="112"/>
      <c r="AS15" s="118"/>
    </row>
    <row r="16" spans="1:43" ht="13.5" thickBot="1">
      <c r="A16" s="17" t="s">
        <v>48</v>
      </c>
      <c r="B16" s="17"/>
      <c r="C16" s="17"/>
      <c r="D16" s="17"/>
      <c r="E16" s="17"/>
      <c r="F16" s="119"/>
      <c r="G16" s="62"/>
      <c r="H16" s="49">
        <f>SUM(H11)</f>
        <v>0</v>
      </c>
      <c r="I16" s="44">
        <f>MAX(F16-H16,0)</f>
        <v>0</v>
      </c>
      <c r="J16" s="44"/>
      <c r="K16" s="17"/>
      <c r="L16" s="264" t="s">
        <v>85</v>
      </c>
      <c r="M16" s="228"/>
      <c r="N16" s="228"/>
      <c r="O16" s="228"/>
      <c r="P16" s="212">
        <f>IF(F18="",0,SUM(P15/30))</f>
        <v>0</v>
      </c>
      <c r="Q16" s="212"/>
      <c r="R16" s="212"/>
      <c r="S16" s="212">
        <f>SUM(S15/30)</f>
        <v>0</v>
      </c>
      <c r="T16" s="212"/>
      <c r="U16" s="212"/>
      <c r="V16" s="229">
        <f>SUM(V15/30)</f>
        <v>0</v>
      </c>
      <c r="W16" s="17"/>
      <c r="X16" s="17"/>
      <c r="Y16" s="17"/>
      <c r="Z16" s="62"/>
      <c r="AA16" s="49"/>
      <c r="AB16" s="44"/>
      <c r="AC16" s="17"/>
      <c r="AD16" s="17"/>
      <c r="AH16" s="107"/>
      <c r="AI16" s="110"/>
      <c r="AJ16" s="121"/>
      <c r="AK16" s="110"/>
      <c r="AL16" s="110"/>
      <c r="AM16" s="110"/>
      <c r="AN16" s="110"/>
      <c r="AQ16" s="112"/>
    </row>
    <row r="17" spans="1:45" ht="12.75">
      <c r="A17" s="17" t="s">
        <v>49</v>
      </c>
      <c r="B17" s="17"/>
      <c r="C17" s="17"/>
      <c r="D17" s="17"/>
      <c r="E17" s="17"/>
      <c r="F17" s="122"/>
      <c r="G17" s="44">
        <f>IF(F17="","",F16*F17)</f>
      </c>
      <c r="H17" s="17"/>
      <c r="I17" s="17"/>
      <c r="J17" s="17"/>
      <c r="K17" s="17"/>
      <c r="L17" s="372" t="s">
        <v>47</v>
      </c>
      <c r="M17" s="351"/>
      <c r="N17" s="333"/>
      <c r="O17" s="333" t="s">
        <v>50</v>
      </c>
      <c r="P17" s="352">
        <f>IF(D28="",4.5%,D28)</f>
        <v>0.045</v>
      </c>
      <c r="Q17" s="333"/>
      <c r="R17" s="333"/>
      <c r="S17" s="352">
        <f>IF(D28="",4.5%,D28)</f>
        <v>0.045</v>
      </c>
      <c r="T17" s="333"/>
      <c r="U17" s="333"/>
      <c r="V17" s="373" t="s">
        <v>51</v>
      </c>
      <c r="W17" s="124" t="s">
        <v>52</v>
      </c>
      <c r="X17" s="125"/>
      <c r="Y17" s="126"/>
      <c r="Z17" s="126"/>
      <c r="AA17" s="129">
        <f>IF(D22="",4.5%,D22)</f>
        <v>0.045</v>
      </c>
      <c r="AB17" s="126"/>
      <c r="AC17" s="126"/>
      <c r="AD17" s="129">
        <f>IF(D22="",4.5%,D22)</f>
        <v>0.045</v>
      </c>
      <c r="AE17" s="126"/>
      <c r="AF17" s="126"/>
      <c r="AG17" s="128" t="s">
        <v>53</v>
      </c>
      <c r="AH17" s="124" t="s">
        <v>54</v>
      </c>
      <c r="AI17" s="125"/>
      <c r="AJ17" s="126"/>
      <c r="AK17" s="126"/>
      <c r="AL17" s="129">
        <f>IF(D34="",4.5%,D34)</f>
        <v>0.045</v>
      </c>
      <c r="AM17" s="126"/>
      <c r="AN17" s="126"/>
      <c r="AO17" s="130">
        <f>IF(D34="",4.5%,D34)</f>
        <v>0.045</v>
      </c>
      <c r="AP17" s="126"/>
      <c r="AQ17" s="126"/>
      <c r="AR17" s="131" t="s">
        <v>55</v>
      </c>
      <c r="AS17" s="17"/>
    </row>
    <row r="18" spans="1:45" ht="12.75">
      <c r="A18" s="17" t="s">
        <v>166</v>
      </c>
      <c r="B18" s="17"/>
      <c r="C18" s="17"/>
      <c r="D18" s="17"/>
      <c r="E18" s="17"/>
      <c r="F18" s="360"/>
      <c r="G18" s="62"/>
      <c r="H18" s="17"/>
      <c r="I18" s="17"/>
      <c r="J18" s="17"/>
      <c r="K18" s="17"/>
      <c r="L18" s="132"/>
      <c r="M18" s="351"/>
      <c r="N18" s="333"/>
      <c r="O18" s="333" t="s">
        <v>56</v>
      </c>
      <c r="P18" s="352">
        <f>SUM(D29)</f>
        <v>0.13</v>
      </c>
      <c r="Q18" s="333"/>
      <c r="R18" s="333"/>
      <c r="S18" s="352">
        <f>SUM(D30)</f>
        <v>0.68</v>
      </c>
      <c r="T18" s="333"/>
      <c r="U18" s="333"/>
      <c r="V18" s="141" t="s">
        <v>57</v>
      </c>
      <c r="W18" s="136"/>
      <c r="X18" s="137"/>
      <c r="Y18" s="17"/>
      <c r="Z18" s="17"/>
      <c r="AA18" s="138">
        <f>SUM(D23)</f>
        <v>0.13</v>
      </c>
      <c r="AB18" s="17"/>
      <c r="AC18" s="51"/>
      <c r="AD18" s="139">
        <f>SUM(D24)</f>
        <v>0.68</v>
      </c>
      <c r="AE18" s="17"/>
      <c r="AF18" s="17"/>
      <c r="AG18" s="135" t="s">
        <v>57</v>
      </c>
      <c r="AH18" s="136"/>
      <c r="AI18" s="137"/>
      <c r="AJ18" s="17"/>
      <c r="AK18" s="17"/>
      <c r="AL18" s="134">
        <f>SUM(D35)</f>
        <v>0.13</v>
      </c>
      <c r="AM18" s="17"/>
      <c r="AN18" s="51"/>
      <c r="AO18" s="140">
        <f>SUM(D36)</f>
        <v>0.68</v>
      </c>
      <c r="AP18" s="17"/>
      <c r="AQ18" s="17"/>
      <c r="AR18" s="141" t="s">
        <v>57</v>
      </c>
      <c r="AS18" s="17"/>
    </row>
    <row r="19" spans="1:45" ht="12.75">
      <c r="A19" s="17" t="s">
        <v>58</v>
      </c>
      <c r="B19" s="17"/>
      <c r="C19" s="17"/>
      <c r="D19" s="17"/>
      <c r="E19" s="17"/>
      <c r="F19" s="119"/>
      <c r="G19" s="17"/>
      <c r="H19" s="142">
        <f>SUM(H11)</f>
        <v>0</v>
      </c>
      <c r="I19" s="137">
        <f>MAX(F19-H19,0)</f>
        <v>0</v>
      </c>
      <c r="J19" s="17"/>
      <c r="K19" s="17"/>
      <c r="L19" s="143" t="s">
        <v>59</v>
      </c>
      <c r="M19" s="353"/>
      <c r="N19" s="354" t="s">
        <v>60</v>
      </c>
      <c r="O19" s="355">
        <f>SUM(F17)</f>
        <v>0</v>
      </c>
      <c r="P19" s="356">
        <f>SUM(D29)</f>
        <v>0.13</v>
      </c>
      <c r="Q19" s="354" t="s">
        <v>61</v>
      </c>
      <c r="R19" s="355" t="s">
        <v>62</v>
      </c>
      <c r="S19" s="356">
        <f>SUM(D30)</f>
        <v>0.68</v>
      </c>
      <c r="T19" s="357" t="s">
        <v>63</v>
      </c>
      <c r="U19" s="354" t="s">
        <v>64</v>
      </c>
      <c r="V19" s="151" t="s">
        <v>65</v>
      </c>
      <c r="W19" s="147" t="s">
        <v>59</v>
      </c>
      <c r="X19" s="133"/>
      <c r="Y19" s="148" t="s">
        <v>66</v>
      </c>
      <c r="Z19" s="149" t="s">
        <v>50</v>
      </c>
      <c r="AA19" s="150">
        <f>SUM(D23)</f>
        <v>0.13</v>
      </c>
      <c r="AB19" s="96" t="s">
        <v>67</v>
      </c>
      <c r="AC19" s="144" t="s">
        <v>68</v>
      </c>
      <c r="AD19" s="145">
        <f>SUM(D24)</f>
        <v>0.68</v>
      </c>
      <c r="AE19" s="96" t="s">
        <v>63</v>
      </c>
      <c r="AF19" s="96" t="s">
        <v>64</v>
      </c>
      <c r="AG19" s="146" t="s">
        <v>65</v>
      </c>
      <c r="AH19" s="147" t="s">
        <v>59</v>
      </c>
      <c r="AI19" s="133"/>
      <c r="AJ19" s="148" t="s">
        <v>66</v>
      </c>
      <c r="AK19" s="149" t="s">
        <v>50</v>
      </c>
      <c r="AL19" s="150">
        <f>SUM(D35)</f>
        <v>0.13</v>
      </c>
      <c r="AM19" s="96" t="s">
        <v>67</v>
      </c>
      <c r="AN19" s="144" t="s">
        <v>68</v>
      </c>
      <c r="AO19" s="145">
        <f>SUM(D36)</f>
        <v>0.68</v>
      </c>
      <c r="AP19" s="96" t="s">
        <v>63</v>
      </c>
      <c r="AQ19" s="96" t="s">
        <v>64</v>
      </c>
      <c r="AR19" s="151" t="s">
        <v>65</v>
      </c>
      <c r="AS19" s="148"/>
    </row>
    <row r="20" spans="1:45" ht="12.75">
      <c r="A20" s="17"/>
      <c r="B20" s="17"/>
      <c r="C20" s="17"/>
      <c r="D20" s="58" t="s">
        <v>69</v>
      </c>
      <c r="E20" s="17"/>
      <c r="F20" s="17"/>
      <c r="G20" s="17"/>
      <c r="H20" s="17"/>
      <c r="I20" s="17"/>
      <c r="J20" s="17"/>
      <c r="K20" s="17"/>
      <c r="L20" s="132">
        <f>IF(F12=0,"",SUM(Q6-F13+1))</f>
      </c>
      <c r="M20" s="351">
        <f aca="true" t="shared" si="0" ref="M20:M48">IF(L20="","",IF(L20=$F$10,"1:a Inkf",IF(L20=$F$11,"fastst.år","")))</f>
      </c>
      <c r="N20" s="331">
        <f aca="true" t="shared" si="1" ref="N20:N49">IF(L20="","",IF(AND($F$18="",$F$16=""),"",IF(L20&lt;$H$13,"",IF($F$16&gt;0,IF(L20&lt;$F$10,$F$14,IF($F$16&gt;$H$11,$H$11,$F$16)),IF($F$18&gt;0,IF(L20&lt;$F$10,$F$18,IF($F$18&gt;$H$11,$H$11,$F$18)))))))</f>
      </c>
      <c r="O20" s="358">
        <f aca="true" t="shared" si="2" ref="O20:O49">IF(L20&lt;$D$27,IF(N20="","",IF(L20&lt;$F$10,N20*0.13/30,IF($O$19="",$F$16*0.13/30,IF($F$18&gt;0,MAX(($F$18-$I$16)*0.13/30,0),((F$16*$F$17)-$I$16)*0.13/30)))),0)</f>
        <v>0</v>
      </c>
      <c r="P20" s="358">
        <f aca="true" t="shared" si="3" ref="P20:P49">IF($D$27&gt;L20,0,IF($F$16="","",IF(L20&lt;$F$10,0,IF($F$18&gt;0,$P$16,MAX(IF($D$27&gt;L20,0,($G$17-$I$16)*$P$18/30),0)))))</f>
      </c>
      <c r="Q20" s="331">
        <f>IF(G$17&lt;($F$16-$H$11),$G$17,IF(L20="","",IF(AND($F$18="",$F$16=""),"",(IF(L20&lt;$H$13,"",IF($F$16&gt;0,IF(L20&lt;$F$10,0,IF($F$16&gt;$H$11,$F$16-$H$11,0)),IF($F$18&gt;0,IF(L20&lt;$F$10,0,IF($F$18&gt;$H$11,$F$18-$H$11,0)))))))))</f>
      </c>
      <c r="R20" s="349">
        <f aca="true" t="shared" si="4" ref="R20:R49">IF(L20&lt;$D$27,IF(Q20="","",IF(L20&lt;$F$10,0,IF($F$18&gt;$I$16,$I$16*0.68/30,IF($F$18&gt;0,IF($F$16&gt;$H$11,$F$18*0.68/30,Q20*0.68/30),Q20*0.68/30)))),0)</f>
        <v>0</v>
      </c>
      <c r="S20" s="349">
        <f aca="true" t="shared" si="5" ref="S20:S49">IF(L20&gt;=$D$27,IF(Q20="","",IF(L20&lt;$F$10,0,IF($F$18&gt;$I$16,$I$16*$S$18/30,IF($F$18&gt;0,IF($F$16&gt;$H$11,$F$18*$S$18/30,Q20*$S$18/30),Q20*$S$18/30)))),0)</f>
      </c>
      <c r="T20" s="153">
        <f>IF(Q20="","",IF(L20&lt;2008,100%,LOOKUP(L20,$L$5:$L$9,$M$5:M$9)))</f>
      </c>
      <c r="U20" s="154">
        <f>IF(Q20="","",IF(T20=13%,Q20*T20/30,(R20+S20)*T20))</f>
      </c>
      <c r="V20" s="316">
        <f>IF(L20&lt;$F$10,0,IF(N20="","",SUM(O20+P20+U20)))</f>
      </c>
      <c r="W20" s="155">
        <f>IF(L20="","",L20)</f>
      </c>
      <c r="X20" s="137">
        <f aca="true" t="shared" si="6" ref="X20:X48">IF(W20="","",IF(L20=$F$10,"1:a Inkf",IF(L20=$F$11,"fastst.år","")))</f>
      </c>
      <c r="Y20" s="60">
        <f aca="true" t="shared" si="7" ref="Y20:Y49">IF(W20="","",IF(W20&lt;$H$13,"",IF(W20&lt;$F$10,$F$14,IF($F$14&gt;$H$11,$H$11,$F$14))))</f>
      </c>
      <c r="Z20" s="152">
        <f aca="true" t="shared" si="8" ref="Z20:Z49">IF(L20&lt;$D$21,IF(W20="","",IF(Y20=0,0,IF(W20&lt;$F$10,Y20*0.13/30,IF($F$14&gt;0,(($F$14-$I$14)*0.13/30),(($F$18-$I$16)*0.13/30))))),0)</f>
        <v>0</v>
      </c>
      <c r="AA20" s="152">
        <f aca="true" t="shared" si="9" ref="AA20:AA49">IF(L20&gt;=$D$21,IF(W20="","",IF(Y20=0,0,IF(W20&lt;$F$10,Y20*$D$23/30,IF($F$14&gt;0,(($F$14-$I$14)*$D$23/30),(($F$18-$I$16)*$D$23/30))))),0)</f>
      </c>
      <c r="AB20" s="60">
        <f aca="true" t="shared" si="10" ref="AB20:AB49">IF(W20="","",IF(Y20=0,0,IF(W20&lt;$F$10,0,IF($F$14&gt;0,IF($F$14&gt;$H$11,$F$14-$H$11,0),IF($F$18&gt;$H$11,$F$18-$H$11,0)))))</f>
      </c>
      <c r="AC20" s="60">
        <f aca="true" t="shared" si="11" ref="AC20:AC49">IF(L20&lt;$D$21,IF(W20="","",IF(Y20=0,0,IF(W20&lt;$F$10,0,IF($I$14&gt;0,$I$14*0.68/30,$I$14*0.68/30)))),0)</f>
        <v>0</v>
      </c>
      <c r="AD20" s="60">
        <f>IF(L20&gt;=$D$21,IF(W20="","",IF(Y20=0,0,IF(W20&lt;$F$10,0,IF($I$14&gt;0,$I$14*$D$24/30,$I$14*$D$24/30)))),0)</f>
      </c>
      <c r="AE20" s="153">
        <f>IF(Y20="","",IF(W20&lt;2008,100%,LOOKUP(W20,$L$5:$L$9,$M$5:$M$9)))</f>
      </c>
      <c r="AF20" s="152">
        <f>IF(Y20="","",IF(AE20=13%,AB20*AE20/30,(AC20+AD20)*AE20))</f>
      </c>
      <c r="AG20" s="60">
        <f>IF(W20&lt;$F$10,0,IF(Y20="","",SUM(Z20+AA20+AF20)))</f>
      </c>
      <c r="AH20" s="155">
        <f>IF(W20="","",W20)</f>
      </c>
      <c r="AI20" s="137">
        <f aca="true" t="shared" si="12" ref="AI20:AI48">IF(AH20="","",IF(W20=$F$10,"1:a Inkf",IF(W20=$F$11,"fastst.år","")))</f>
      </c>
      <c r="AJ20" s="60">
        <f>IF(AH20&lt;$F$10,0,IF(AH20="","",IF(AH20&lt;$H$13,"",IF(AH20&lt;$F$10,$F$14,IF($F$19&gt;$H$11,$H$11,$F$19)))))</f>
      </c>
      <c r="AK20" s="152">
        <f>IF(AH20&lt;$F$10,0,IF(AH20&lt;$D$33,IF(AH20="","",IF(AJ20=0,0,IF(AH20&lt;$F$10,AJ20*0.13/30,IF($F$19&gt;0,(($F$19-$I$19)*0.13/30),(($F$18-$I$19)*0.13/30))))),0))</f>
        <v>0</v>
      </c>
      <c r="AL20" s="152">
        <f>IF(AH20&lt;$F$10,0,IF(AH20&gt;=$D$33,IF(AH20="","",IF(AJ20=0,0,IF(AH20&lt;$F$10,AJ20*$D$35/30,IF($F$19&gt;0,(($F$19-$I$19)*$D$35/30),(($F$18-$I$19)*$D$35/30))))),0))</f>
      </c>
      <c r="AM20" s="60">
        <f>IF(AH20&lt;$F$10,0,IF(AH20="","",IF(AJ20=0,0,IF(AH20&lt;$F$10,0,IF($F$19&gt;0,IF($F$19&gt;$H$11,$F$19-$H$11,0),IF($F$18&gt;$H$11,$F$18-$H$11,0))))))</f>
      </c>
      <c r="AN20" s="60">
        <f>IF(AH20&lt;$F$10,0,IF(AH20&lt;$D$33,IF(AH20="","",IF(AJ20=0,0,IF(AH20&lt;$F$10,0,IF($I$19&gt;0,$I$19*0.68/30,$I$19*0.68/30)))),0))</f>
        <v>0</v>
      </c>
      <c r="AO20" s="156">
        <f>IF(AH20&gt;=$D$33,IF(AH20="","",IF(AJ20=0,0,IF(AH20&lt;$F$10,0,IF($I$19&gt;0,$I$19*$D$36/30,$I$19*$D$36/30)))),0)</f>
      </c>
      <c r="AP20" s="153">
        <f>IF(AH20&lt;$F$10,0,IF(AJ20="","",IF(AH20&lt;2008,100%,LOOKUP(AH20,$L$5:$L$9,$M$5:$M$9))))</f>
      </c>
      <c r="AQ20" s="152">
        <f>IF(AH20&lt;$F$10,0,IF(AJ20="","",IF(AP20=13%,AM20*AP20/30,(AN20+AO20)*AP20)))</f>
      </c>
      <c r="AR20" s="157">
        <f>IF(AH20&lt;$F$10,0,IF(AJ20="","",SUM(AK20+AL20+AQ20)))</f>
      </c>
      <c r="AS20" s="60">
        <v>1</v>
      </c>
    </row>
    <row r="21" spans="1:45" ht="12.75">
      <c r="A21" s="133" t="s">
        <v>70</v>
      </c>
      <c r="B21" s="17"/>
      <c r="C21" s="26"/>
      <c r="D21" s="158"/>
      <c r="E21" s="159"/>
      <c r="F21" s="17"/>
      <c r="G21" s="17"/>
      <c r="H21" s="17"/>
      <c r="I21" s="17"/>
      <c r="J21" s="17"/>
      <c r="K21" s="17"/>
      <c r="L21" s="132">
        <f aca="true" t="shared" si="13" ref="L21:L50">IF(L20&lt;$Q$6,L20+1,"")</f>
      </c>
      <c r="M21" s="351">
        <f t="shared" si="0"/>
      </c>
      <c r="N21" s="331">
        <f t="shared" si="1"/>
      </c>
      <c r="O21" s="358">
        <f t="shared" si="2"/>
        <v>0</v>
      </c>
      <c r="P21" s="358">
        <f t="shared" si="3"/>
      </c>
      <c r="Q21" s="331">
        <f aca="true" t="shared" si="14" ref="Q21:Q49">IF(G$17&lt;($F$16-$H$11),$G$17,IF(L21="","",IF(AND($F$18="",$F$16=""),"",(IF(L21&lt;$H$13,"",IF($F$16&gt;0,IF(L21&lt;$F$10,0,IF($F$16&gt;$H$11,$F$16-$H$11,0)),IF($F$18&gt;0,IF(L21&lt;$F$10,0,IF($F$18&gt;$H$11,$F$18-$H$11,0)))))))))</f>
      </c>
      <c r="R21" s="349">
        <f t="shared" si="4"/>
        <v>0</v>
      </c>
      <c r="S21" s="349">
        <f t="shared" si="5"/>
      </c>
      <c r="T21" s="153">
        <f>IF(Q21="","",IF(L21&lt;2008,100%,LOOKUP(L21,$L$5:$L$9,$M$5:M$9)))</f>
      </c>
      <c r="U21" s="154">
        <f>IF(Q21="","",IF(T21=13%,Q21*T21/30,(R21+S21)*T21))</f>
      </c>
      <c r="V21" s="316">
        <f aca="true" t="shared" si="15" ref="V21:V49">IF(L21&lt;$F$10,0,IF(N21="","",SUM(O21+P21+U21)))</f>
      </c>
      <c r="W21" s="155">
        <f aca="true" t="shared" si="16" ref="W21:W49">IF(L21="","",L21)</f>
      </c>
      <c r="X21" s="137">
        <f t="shared" si="6"/>
      </c>
      <c r="Y21" s="60">
        <f t="shared" si="7"/>
      </c>
      <c r="Z21" s="152">
        <f t="shared" si="8"/>
        <v>0</v>
      </c>
      <c r="AA21" s="152">
        <f t="shared" si="9"/>
      </c>
      <c r="AB21" s="60">
        <f t="shared" si="10"/>
      </c>
      <c r="AC21" s="60">
        <f t="shared" si="11"/>
        <v>0</v>
      </c>
      <c r="AD21" s="60">
        <f aca="true" t="shared" si="17" ref="AD21:AD49">IF(L21&gt;=$D$21,IF(W21="","",IF(Y21=0,0,IF(W21&lt;$F$10,0,IF($I$14&gt;0,$I$14*$D$24/30,$I$14*$D$24/30)))),0)</f>
      </c>
      <c r="AE21" s="153">
        <f aca="true" t="shared" si="18" ref="AE21:AE49">IF(Y21="","",IF(W21&lt;2008,100%,LOOKUP(W21,$L$5:$L$9,$M$5:$M$9)))</f>
      </c>
      <c r="AF21" s="152">
        <f aca="true" t="shared" si="19" ref="AF21:AF49">IF(Y21="","",IF(AE21=13%,AB21*AE21/30,(AC21+AD21)*AE21))</f>
      </c>
      <c r="AG21" s="60">
        <f aca="true" t="shared" si="20" ref="AG21:AG49">IF(W21&lt;$F$10,0,IF(Y21="","",SUM(Z21+AA21+AF21)))</f>
      </c>
      <c r="AH21" s="155">
        <f aca="true" t="shared" si="21" ref="AH21:AH49">IF(W21="","",W21)</f>
      </c>
      <c r="AI21" s="137">
        <f t="shared" si="12"/>
      </c>
      <c r="AJ21" s="60">
        <f aca="true" t="shared" si="22" ref="AJ21:AJ49">IF(AH21&lt;$F$10,0,IF(AH21="","",IF(AH21&lt;$H$13,"",IF(AH21&lt;$F$10,$F$14,IF($F$19&gt;$H$11,$H$11,$F$19)))))</f>
      </c>
      <c r="AK21" s="152">
        <f aca="true" t="shared" si="23" ref="AK21:AK49">IF(AH21&lt;$F$10,0,IF(AH21&lt;$D$33,IF(AH21="","",IF(AJ21=0,0,IF(AH21&lt;$F$10,AJ21*0.13/30,IF($F$19&gt;0,(($F$19-$I$19)*0.13/30),(($F$18-$I$19)*0.13/30))))),0))</f>
        <v>0</v>
      </c>
      <c r="AL21" s="152">
        <f aca="true" t="shared" si="24" ref="AL21:AL49">IF(AH21&lt;$F$10,0,IF(AH21&gt;=$D$33,IF(AH21="","",IF(AJ21=0,0,IF(AH21&lt;$F$10,AJ21*$D$35/30,IF($F$19&gt;0,(($F$19-$I$19)*$D$35/30),(($F$18-$I$19)*$D$35/30))))),0))</f>
      </c>
      <c r="AM21" s="60">
        <f aca="true" t="shared" si="25" ref="AM21:AM49">IF(AH21&lt;$F$10,0,IF(AH21="","",IF(AJ21=0,0,IF(AH21&lt;$F$10,0,IF($F$19&gt;0,IF($F$19&gt;$H$11,$F$19-$H$11,0),IF($F$18&gt;$H$11,$F$18-$H$11,0))))))</f>
      </c>
      <c r="AN21" s="60">
        <f aca="true" t="shared" si="26" ref="AN21:AN49">IF(AH21&lt;$F$10,0,IF(AH21&lt;$D$33,IF(AH21="","",IF(AJ21=0,0,IF(AH21&lt;$F$10,0,IF($I$19&gt;0,$I$19*0.68/30,$I$19*0.68/30)))),0))</f>
        <v>0</v>
      </c>
      <c r="AO21" s="156">
        <f aca="true" t="shared" si="27" ref="AO21:AO49">IF(AH21&gt;=$D$33,IF(AH21="","",IF(AJ21=0,0,IF(AH21&lt;$F$10,0,IF($I$19&gt;0,$I$19*$D$36/30,$I$19*$D$36/30)))),0)</f>
      </c>
      <c r="AP21" s="153">
        <f aca="true" t="shared" si="28" ref="AP21:AP49">IF(AH21&lt;$F$10,0,IF(AJ21="","",IF(AH21&lt;2008,100%,LOOKUP(AH21,$L$5:$L$9,$M$5:$M$9))))</f>
      </c>
      <c r="AQ21" s="152">
        <f aca="true" t="shared" si="29" ref="AQ21:AQ49">IF(AH21&lt;$F$10,0,IF(AJ21="","",IF(AP21=13%,AM21*AP21/30,(AN21+AO21)*AP21)))</f>
      </c>
      <c r="AR21" s="157">
        <f aca="true" t="shared" si="30" ref="AR21:AR49">IF(AH21&lt;$F$10,0,IF(AJ21="","",SUM(AK21+AL21+AQ21)))</f>
      </c>
      <c r="AS21" s="60">
        <v>2</v>
      </c>
    </row>
    <row r="22" spans="1:45" ht="12.75">
      <c r="A22" s="133" t="s">
        <v>71</v>
      </c>
      <c r="B22" s="17"/>
      <c r="C22" s="26"/>
      <c r="D22" s="160"/>
      <c r="E22" s="17"/>
      <c r="F22" s="17"/>
      <c r="G22" s="17"/>
      <c r="H22" s="17"/>
      <c r="I22" s="17"/>
      <c r="J22" s="17"/>
      <c r="K22" s="17"/>
      <c r="L22" s="132">
        <f t="shared" si="13"/>
      </c>
      <c r="M22" s="351">
        <f t="shared" si="0"/>
      </c>
      <c r="N22" s="331">
        <f t="shared" si="1"/>
      </c>
      <c r="O22" s="358">
        <f t="shared" si="2"/>
        <v>0</v>
      </c>
      <c r="P22" s="358">
        <f t="shared" si="3"/>
      </c>
      <c r="Q22" s="331">
        <f t="shared" si="14"/>
      </c>
      <c r="R22" s="349">
        <f t="shared" si="4"/>
        <v>0</v>
      </c>
      <c r="S22" s="349">
        <f t="shared" si="5"/>
      </c>
      <c r="T22" s="153">
        <f>IF(Q22="","",IF(L22&lt;2008,100%,LOOKUP(L22,$L$5:$L$9,$M$5:M$9)))</f>
      </c>
      <c r="U22" s="154">
        <f>IF(Q22="","",IF(T22=13%,Q22*T22/30,(R22+S22)*T22))</f>
      </c>
      <c r="V22" s="316">
        <f t="shared" si="15"/>
      </c>
      <c r="W22" s="155">
        <f t="shared" si="16"/>
      </c>
      <c r="X22" s="137">
        <f t="shared" si="6"/>
      </c>
      <c r="Y22" s="60">
        <f t="shared" si="7"/>
      </c>
      <c r="Z22" s="152">
        <f t="shared" si="8"/>
        <v>0</v>
      </c>
      <c r="AA22" s="152">
        <f t="shared" si="9"/>
      </c>
      <c r="AB22" s="60">
        <f t="shared" si="10"/>
      </c>
      <c r="AC22" s="60">
        <f t="shared" si="11"/>
        <v>0</v>
      </c>
      <c r="AD22" s="60">
        <f t="shared" si="17"/>
      </c>
      <c r="AE22" s="153">
        <f t="shared" si="18"/>
      </c>
      <c r="AF22" s="152">
        <f t="shared" si="19"/>
      </c>
      <c r="AG22" s="60">
        <f t="shared" si="20"/>
      </c>
      <c r="AH22" s="155">
        <f t="shared" si="21"/>
      </c>
      <c r="AI22" s="137">
        <f t="shared" si="12"/>
      </c>
      <c r="AJ22" s="60">
        <f t="shared" si="22"/>
      </c>
      <c r="AK22" s="152">
        <f t="shared" si="23"/>
        <v>0</v>
      </c>
      <c r="AL22" s="152">
        <f t="shared" si="24"/>
      </c>
      <c r="AM22" s="60">
        <f t="shared" si="25"/>
      </c>
      <c r="AN22" s="60">
        <f t="shared" si="26"/>
        <v>0</v>
      </c>
      <c r="AO22" s="156">
        <f t="shared" si="27"/>
      </c>
      <c r="AP22" s="153">
        <f t="shared" si="28"/>
      </c>
      <c r="AQ22" s="152">
        <f t="shared" si="29"/>
      </c>
      <c r="AR22" s="157">
        <f t="shared" si="30"/>
      </c>
      <c r="AS22" s="60">
        <v>3</v>
      </c>
    </row>
    <row r="23" spans="1:45" ht="12.75">
      <c r="A23" s="17"/>
      <c r="B23" s="17"/>
      <c r="C23" s="161" t="s">
        <v>66</v>
      </c>
      <c r="D23" s="162">
        <f>IF(D22="",ROUND(4.5%*13/4.5,2),ROUND(D22*13/4.5,2))</f>
        <v>0.13</v>
      </c>
      <c r="E23" s="17"/>
      <c r="F23" s="17"/>
      <c r="G23" s="17"/>
      <c r="H23" s="17"/>
      <c r="I23" s="17"/>
      <c r="J23" s="17"/>
      <c r="K23" s="17"/>
      <c r="L23" s="132">
        <f t="shared" si="13"/>
      </c>
      <c r="M23" s="351">
        <f t="shared" si="0"/>
      </c>
      <c r="N23" s="331">
        <f t="shared" si="1"/>
      </c>
      <c r="O23" s="358">
        <f t="shared" si="2"/>
        <v>0</v>
      </c>
      <c r="P23" s="358">
        <f t="shared" si="3"/>
      </c>
      <c r="Q23" s="331">
        <f t="shared" si="14"/>
      </c>
      <c r="R23" s="349">
        <f t="shared" si="4"/>
        <v>0</v>
      </c>
      <c r="S23" s="349">
        <f t="shared" si="5"/>
      </c>
      <c r="T23" s="153">
        <f>IF(Q23="","",IF(L23&lt;2008,100%,LOOKUP(L23,$L$5:$L$9,$M$5:M$9)))</f>
      </c>
      <c r="U23" s="154">
        <f>IF(Q23="","",IF(T23=13%,Q23*T23/30,(R23+S23)*T23))</f>
      </c>
      <c r="V23" s="316">
        <f t="shared" si="15"/>
      </c>
      <c r="W23" s="155">
        <f t="shared" si="16"/>
      </c>
      <c r="X23" s="137">
        <f t="shared" si="6"/>
      </c>
      <c r="Y23" s="60">
        <f t="shared" si="7"/>
      </c>
      <c r="Z23" s="152">
        <f t="shared" si="8"/>
        <v>0</v>
      </c>
      <c r="AA23" s="152">
        <f t="shared" si="9"/>
      </c>
      <c r="AB23" s="60">
        <f t="shared" si="10"/>
      </c>
      <c r="AC23" s="60">
        <f t="shared" si="11"/>
        <v>0</v>
      </c>
      <c r="AD23" s="60">
        <f t="shared" si="17"/>
      </c>
      <c r="AE23" s="153">
        <f t="shared" si="18"/>
      </c>
      <c r="AF23" s="152">
        <f t="shared" si="19"/>
      </c>
      <c r="AG23" s="60">
        <f t="shared" si="20"/>
      </c>
      <c r="AH23" s="155">
        <f t="shared" si="21"/>
      </c>
      <c r="AI23" s="137">
        <f t="shared" si="12"/>
      </c>
      <c r="AJ23" s="60">
        <f t="shared" si="22"/>
      </c>
      <c r="AK23" s="152">
        <f t="shared" si="23"/>
        <v>0</v>
      </c>
      <c r="AL23" s="152">
        <f t="shared" si="24"/>
      </c>
      <c r="AM23" s="60">
        <f t="shared" si="25"/>
      </c>
      <c r="AN23" s="60">
        <f t="shared" si="26"/>
        <v>0</v>
      </c>
      <c r="AO23" s="156">
        <f t="shared" si="27"/>
      </c>
      <c r="AP23" s="153">
        <f t="shared" si="28"/>
      </c>
      <c r="AQ23" s="152">
        <f t="shared" si="29"/>
      </c>
      <c r="AR23" s="157">
        <f t="shared" si="30"/>
      </c>
      <c r="AS23" s="60">
        <v>4</v>
      </c>
    </row>
    <row r="24" spans="1:45" ht="12.75">
      <c r="A24" s="17"/>
      <c r="B24" s="17"/>
      <c r="C24" s="163" t="s">
        <v>67</v>
      </c>
      <c r="D24" s="164">
        <f>ROUND(D23+55%,2)</f>
        <v>0.68</v>
      </c>
      <c r="E24" s="17"/>
      <c r="F24" s="17"/>
      <c r="G24" s="17"/>
      <c r="H24" s="165"/>
      <c r="I24" s="138"/>
      <c r="J24" s="17"/>
      <c r="K24" s="17"/>
      <c r="L24" s="132">
        <f t="shared" si="13"/>
      </c>
      <c r="M24" s="351">
        <f t="shared" si="0"/>
      </c>
      <c r="N24" s="331">
        <f t="shared" si="1"/>
      </c>
      <c r="O24" s="358">
        <f>IF(L24&lt;$D$27,IF(N24="","",IF(L24&lt;$F$10,N24*0.13/30,IF($O$19="",$F$16*0.13/30,IF($F$18&gt;0,MAX(($F$18-$I$16)*0.13/30,0),((F$16*$F$17)-$I$16)*0.13/30)))),0)</f>
        <v>0</v>
      </c>
      <c r="P24" s="358">
        <f t="shared" si="3"/>
      </c>
      <c r="Q24" s="331">
        <f t="shared" si="14"/>
      </c>
      <c r="R24" s="349">
        <f t="shared" si="4"/>
        <v>0</v>
      </c>
      <c r="S24" s="349">
        <f t="shared" si="5"/>
      </c>
      <c r="T24" s="153">
        <f>IF(Q24="","",IF(L24&lt;2008,100%,LOOKUP(L24,$L$5:$L$9,$M$5:M$9)))</f>
      </c>
      <c r="U24" s="154">
        <f>IF(Q24="","",IF(T24=13%,Q24*T24/30,(R24+S24)*T24))</f>
      </c>
      <c r="V24" s="316">
        <f t="shared" si="15"/>
      </c>
      <c r="W24" s="155">
        <f t="shared" si="16"/>
      </c>
      <c r="X24" s="137">
        <f t="shared" si="6"/>
      </c>
      <c r="Y24" s="60">
        <f t="shared" si="7"/>
      </c>
      <c r="Z24" s="152">
        <f t="shared" si="8"/>
        <v>0</v>
      </c>
      <c r="AA24" s="152">
        <f t="shared" si="9"/>
      </c>
      <c r="AB24" s="60">
        <f t="shared" si="10"/>
      </c>
      <c r="AC24" s="60">
        <f t="shared" si="11"/>
        <v>0</v>
      </c>
      <c r="AD24" s="60">
        <f t="shared" si="17"/>
      </c>
      <c r="AE24" s="153">
        <f t="shared" si="18"/>
      </c>
      <c r="AF24" s="152">
        <f t="shared" si="19"/>
      </c>
      <c r="AG24" s="60">
        <f t="shared" si="20"/>
      </c>
      <c r="AH24" s="155">
        <f t="shared" si="21"/>
      </c>
      <c r="AI24" s="137">
        <f t="shared" si="12"/>
      </c>
      <c r="AJ24" s="60">
        <f t="shared" si="22"/>
      </c>
      <c r="AK24" s="152">
        <f t="shared" si="23"/>
        <v>0</v>
      </c>
      <c r="AL24" s="152">
        <f t="shared" si="24"/>
      </c>
      <c r="AM24" s="60">
        <f t="shared" si="25"/>
      </c>
      <c r="AN24" s="60">
        <f t="shared" si="26"/>
        <v>0</v>
      </c>
      <c r="AO24" s="156">
        <f t="shared" si="27"/>
      </c>
      <c r="AP24" s="153">
        <f t="shared" si="28"/>
      </c>
      <c r="AQ24" s="152">
        <f t="shared" si="29"/>
      </c>
      <c r="AR24" s="157">
        <f t="shared" si="30"/>
      </c>
      <c r="AS24" s="60">
        <v>5</v>
      </c>
    </row>
    <row r="25" spans="1:4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32">
        <f t="shared" si="13"/>
      </c>
      <c r="M25" s="351">
        <f t="shared" si="0"/>
      </c>
      <c r="N25" s="331">
        <f t="shared" si="1"/>
      </c>
      <c r="O25" s="358">
        <f t="shared" si="2"/>
        <v>0</v>
      </c>
      <c r="P25" s="358">
        <f>IF($D$27&gt;L25,0,IF($F$16="","",IF(L25&lt;$F$10,0,IF($F$18&gt;0,$P$16,MAX(IF($D$27&gt;L25,0,($G$17-$I$16)*$P$18/30),0)))))</f>
      </c>
      <c r="Q25" s="331">
        <f t="shared" si="14"/>
      </c>
      <c r="R25" s="349">
        <f t="shared" si="4"/>
        <v>0</v>
      </c>
      <c r="S25" s="349">
        <f t="shared" si="5"/>
      </c>
      <c r="T25" s="153">
        <f>IF(Q25="","",IF(L25&lt;2008,100%,LOOKUP(L25,$L$5:$L$9,$M$5:M$9)))</f>
      </c>
      <c r="U25" s="154">
        <f aca="true" t="shared" si="31" ref="U25:U49">IF(Q25="","",IF(T25=13%,Q25*T25/30,(R25+S25)*T25))</f>
      </c>
      <c r="V25" s="316">
        <f t="shared" si="15"/>
      </c>
      <c r="W25" s="155">
        <f t="shared" si="16"/>
      </c>
      <c r="X25" s="137">
        <f t="shared" si="6"/>
      </c>
      <c r="Y25" s="60">
        <f t="shared" si="7"/>
      </c>
      <c r="Z25" s="152">
        <f t="shared" si="8"/>
        <v>0</v>
      </c>
      <c r="AA25" s="152">
        <f t="shared" si="9"/>
      </c>
      <c r="AB25" s="60">
        <f t="shared" si="10"/>
      </c>
      <c r="AC25" s="60">
        <f t="shared" si="11"/>
        <v>0</v>
      </c>
      <c r="AD25" s="60">
        <f t="shared" si="17"/>
      </c>
      <c r="AE25" s="153">
        <f t="shared" si="18"/>
      </c>
      <c r="AF25" s="152">
        <f t="shared" si="19"/>
      </c>
      <c r="AG25" s="60">
        <f t="shared" si="20"/>
      </c>
      <c r="AH25" s="155">
        <f t="shared" si="21"/>
      </c>
      <c r="AI25" s="137">
        <f t="shared" si="12"/>
      </c>
      <c r="AJ25" s="60">
        <f t="shared" si="22"/>
      </c>
      <c r="AK25" s="152">
        <f t="shared" si="23"/>
        <v>0</v>
      </c>
      <c r="AL25" s="152">
        <f t="shared" si="24"/>
      </c>
      <c r="AM25" s="60">
        <f t="shared" si="25"/>
      </c>
      <c r="AN25" s="60">
        <f t="shared" si="26"/>
        <v>0</v>
      </c>
      <c r="AO25" s="156">
        <f t="shared" si="27"/>
      </c>
      <c r="AP25" s="153">
        <f t="shared" si="28"/>
      </c>
      <c r="AQ25" s="152">
        <f t="shared" si="29"/>
      </c>
      <c r="AR25" s="157">
        <f t="shared" si="30"/>
      </c>
      <c r="AS25" s="60">
        <v>6</v>
      </c>
    </row>
    <row r="26" spans="1:45" ht="12.75">
      <c r="A26" s="17"/>
      <c r="B26" s="17"/>
      <c r="C26" s="17"/>
      <c r="D26" s="58" t="s">
        <v>72</v>
      </c>
      <c r="E26" s="17"/>
      <c r="F26" s="17"/>
      <c r="G26" s="17"/>
      <c r="H26" s="17"/>
      <c r="I26" s="17"/>
      <c r="J26" s="17"/>
      <c r="K26" s="17"/>
      <c r="L26" s="132">
        <f t="shared" si="13"/>
      </c>
      <c r="M26" s="351">
        <f t="shared" si="0"/>
      </c>
      <c r="N26" s="331">
        <f t="shared" si="1"/>
      </c>
      <c r="O26" s="358">
        <f t="shared" si="2"/>
        <v>0</v>
      </c>
      <c r="P26" s="358">
        <f t="shared" si="3"/>
      </c>
      <c r="Q26" s="331">
        <f t="shared" si="14"/>
      </c>
      <c r="R26" s="349">
        <f t="shared" si="4"/>
        <v>0</v>
      </c>
      <c r="S26" s="349">
        <f t="shared" si="5"/>
      </c>
      <c r="T26" s="153">
        <f>IF(Q26="","",IF(L26&lt;2008,100%,LOOKUP(L26,$L$5:$L$9,$M$5:M$9)))</f>
      </c>
      <c r="U26" s="154">
        <f t="shared" si="31"/>
      </c>
      <c r="V26" s="316">
        <f t="shared" si="15"/>
      </c>
      <c r="W26" s="155">
        <f t="shared" si="16"/>
      </c>
      <c r="X26" s="137">
        <f t="shared" si="6"/>
      </c>
      <c r="Y26" s="60">
        <f t="shared" si="7"/>
      </c>
      <c r="Z26" s="152">
        <f t="shared" si="8"/>
        <v>0</v>
      </c>
      <c r="AA26" s="152">
        <f t="shared" si="9"/>
      </c>
      <c r="AB26" s="60">
        <f t="shared" si="10"/>
      </c>
      <c r="AC26" s="60">
        <f t="shared" si="11"/>
        <v>0</v>
      </c>
      <c r="AD26" s="60">
        <f t="shared" si="17"/>
      </c>
      <c r="AE26" s="153">
        <f t="shared" si="18"/>
      </c>
      <c r="AF26" s="152">
        <f t="shared" si="19"/>
      </c>
      <c r="AG26" s="60">
        <f t="shared" si="20"/>
      </c>
      <c r="AH26" s="155">
        <f t="shared" si="21"/>
      </c>
      <c r="AI26" s="137">
        <f t="shared" si="12"/>
      </c>
      <c r="AJ26" s="60">
        <f t="shared" si="22"/>
      </c>
      <c r="AK26" s="152">
        <f t="shared" si="23"/>
        <v>0</v>
      </c>
      <c r="AL26" s="152">
        <f t="shared" si="24"/>
      </c>
      <c r="AM26" s="60">
        <f t="shared" si="25"/>
      </c>
      <c r="AN26" s="60">
        <f t="shared" si="26"/>
        <v>0</v>
      </c>
      <c r="AO26" s="156">
        <f t="shared" si="27"/>
      </c>
      <c r="AP26" s="153">
        <f t="shared" si="28"/>
      </c>
      <c r="AQ26" s="152">
        <f t="shared" si="29"/>
      </c>
      <c r="AR26" s="157">
        <f t="shared" si="30"/>
      </c>
      <c r="AS26" s="60">
        <v>7</v>
      </c>
    </row>
    <row r="27" spans="1:45" ht="12.75">
      <c r="A27" s="133" t="s">
        <v>70</v>
      </c>
      <c r="B27" s="17"/>
      <c r="C27" s="26"/>
      <c r="D27" s="158"/>
      <c r="E27" s="17"/>
      <c r="F27" s="17"/>
      <c r="G27" s="17"/>
      <c r="H27" s="17"/>
      <c r="I27" s="17"/>
      <c r="J27" s="17"/>
      <c r="K27" s="17"/>
      <c r="L27" s="132">
        <f t="shared" si="13"/>
      </c>
      <c r="M27" s="351">
        <f t="shared" si="0"/>
      </c>
      <c r="N27" s="331">
        <f t="shared" si="1"/>
      </c>
      <c r="O27" s="358">
        <f t="shared" si="2"/>
        <v>0</v>
      </c>
      <c r="P27" s="358">
        <f t="shared" si="3"/>
      </c>
      <c r="Q27" s="331">
        <f t="shared" si="14"/>
      </c>
      <c r="R27" s="349">
        <f t="shared" si="4"/>
        <v>0</v>
      </c>
      <c r="S27" s="349">
        <f t="shared" si="5"/>
      </c>
      <c r="T27" s="153">
        <f>IF(Q27="","",IF(L27&lt;2008,100%,LOOKUP(L27,$L$5:$L$9,$M$5:M$9)))</f>
      </c>
      <c r="U27" s="154">
        <f t="shared" si="31"/>
      </c>
      <c r="V27" s="316">
        <f t="shared" si="15"/>
      </c>
      <c r="W27" s="155">
        <f t="shared" si="16"/>
      </c>
      <c r="X27" s="137">
        <f t="shared" si="6"/>
      </c>
      <c r="Y27" s="60">
        <f t="shared" si="7"/>
      </c>
      <c r="Z27" s="152">
        <f t="shared" si="8"/>
        <v>0</v>
      </c>
      <c r="AA27" s="152">
        <f t="shared" si="9"/>
      </c>
      <c r="AB27" s="60">
        <f t="shared" si="10"/>
      </c>
      <c r="AC27" s="60">
        <f t="shared" si="11"/>
        <v>0</v>
      </c>
      <c r="AD27" s="60">
        <f t="shared" si="17"/>
      </c>
      <c r="AE27" s="153">
        <f t="shared" si="18"/>
      </c>
      <c r="AF27" s="152">
        <f t="shared" si="19"/>
      </c>
      <c r="AG27" s="60">
        <f t="shared" si="20"/>
      </c>
      <c r="AH27" s="155">
        <f t="shared" si="21"/>
      </c>
      <c r="AI27" s="137">
        <f t="shared" si="12"/>
      </c>
      <c r="AJ27" s="60">
        <f t="shared" si="22"/>
      </c>
      <c r="AK27" s="152">
        <f t="shared" si="23"/>
        <v>0</v>
      </c>
      <c r="AL27" s="152">
        <f t="shared" si="24"/>
      </c>
      <c r="AM27" s="60">
        <f t="shared" si="25"/>
      </c>
      <c r="AN27" s="60">
        <f t="shared" si="26"/>
        <v>0</v>
      </c>
      <c r="AO27" s="156">
        <f t="shared" si="27"/>
      </c>
      <c r="AP27" s="153">
        <f t="shared" si="28"/>
      </c>
      <c r="AQ27" s="152">
        <f t="shared" si="29"/>
      </c>
      <c r="AR27" s="157">
        <f t="shared" si="30"/>
      </c>
      <c r="AS27" s="60">
        <v>8</v>
      </c>
    </row>
    <row r="28" spans="1:45" ht="12.75">
      <c r="A28" s="133" t="s">
        <v>71</v>
      </c>
      <c r="B28" s="17"/>
      <c r="C28" s="26"/>
      <c r="D28" s="160"/>
      <c r="E28" s="17"/>
      <c r="F28" s="17"/>
      <c r="G28" s="17"/>
      <c r="H28" s="17"/>
      <c r="I28" s="17"/>
      <c r="J28" s="17"/>
      <c r="K28" s="17"/>
      <c r="L28" s="132">
        <f t="shared" si="13"/>
      </c>
      <c r="M28" s="351">
        <f t="shared" si="0"/>
      </c>
      <c r="N28" s="331">
        <f t="shared" si="1"/>
      </c>
      <c r="O28" s="358">
        <f t="shared" si="2"/>
        <v>0</v>
      </c>
      <c r="P28" s="358">
        <f t="shared" si="3"/>
      </c>
      <c r="Q28" s="331">
        <f t="shared" si="14"/>
      </c>
      <c r="R28" s="349">
        <f t="shared" si="4"/>
        <v>0</v>
      </c>
      <c r="S28" s="349">
        <f t="shared" si="5"/>
      </c>
      <c r="T28" s="153">
        <f>IF(Q28="","",IF(L28&lt;2008,100%,LOOKUP(L28,$L$5:$L$9,$M$5:M$9)))</f>
      </c>
      <c r="U28" s="154">
        <f t="shared" si="31"/>
      </c>
      <c r="V28" s="316">
        <f t="shared" si="15"/>
      </c>
      <c r="W28" s="155">
        <f t="shared" si="16"/>
      </c>
      <c r="X28" s="137">
        <f t="shared" si="6"/>
      </c>
      <c r="Y28" s="60">
        <f t="shared" si="7"/>
      </c>
      <c r="Z28" s="152">
        <f t="shared" si="8"/>
        <v>0</v>
      </c>
      <c r="AA28" s="152">
        <f t="shared" si="9"/>
      </c>
      <c r="AB28" s="60">
        <f t="shared" si="10"/>
      </c>
      <c r="AC28" s="60">
        <f t="shared" si="11"/>
        <v>0</v>
      </c>
      <c r="AD28" s="60">
        <f t="shared" si="17"/>
      </c>
      <c r="AE28" s="153">
        <f t="shared" si="18"/>
      </c>
      <c r="AF28" s="152">
        <f t="shared" si="19"/>
      </c>
      <c r="AG28" s="60">
        <f t="shared" si="20"/>
      </c>
      <c r="AH28" s="155">
        <f t="shared" si="21"/>
      </c>
      <c r="AI28" s="137">
        <f t="shared" si="12"/>
      </c>
      <c r="AJ28" s="60">
        <f t="shared" si="22"/>
      </c>
      <c r="AK28" s="152">
        <f t="shared" si="23"/>
        <v>0</v>
      </c>
      <c r="AL28" s="152">
        <f t="shared" si="24"/>
      </c>
      <c r="AM28" s="60">
        <f t="shared" si="25"/>
      </c>
      <c r="AN28" s="60">
        <f t="shared" si="26"/>
        <v>0</v>
      </c>
      <c r="AO28" s="156">
        <f t="shared" si="27"/>
      </c>
      <c r="AP28" s="153">
        <f t="shared" si="28"/>
      </c>
      <c r="AQ28" s="152">
        <f t="shared" si="29"/>
      </c>
      <c r="AR28" s="157">
        <f t="shared" si="30"/>
      </c>
      <c r="AS28" s="60">
        <v>9</v>
      </c>
    </row>
    <row r="29" spans="1:45" ht="12.75">
      <c r="A29" s="17"/>
      <c r="B29" s="17"/>
      <c r="C29" s="161" t="s">
        <v>66</v>
      </c>
      <c r="D29" s="162">
        <f>IF(D28="",ROUND(4.5%*13/4.5,2),ROUND(D28*13/4.5,2))</f>
        <v>0.13</v>
      </c>
      <c r="E29" s="138"/>
      <c r="F29" s="17"/>
      <c r="G29" s="17"/>
      <c r="H29" s="17"/>
      <c r="I29" s="17"/>
      <c r="J29" s="17"/>
      <c r="K29" s="17"/>
      <c r="L29" s="132">
        <f t="shared" si="13"/>
      </c>
      <c r="M29" s="351">
        <f t="shared" si="0"/>
      </c>
      <c r="N29" s="331">
        <f t="shared" si="1"/>
      </c>
      <c r="O29" s="358">
        <f t="shared" si="2"/>
        <v>0</v>
      </c>
      <c r="P29" s="358">
        <f t="shared" si="3"/>
      </c>
      <c r="Q29" s="331">
        <f t="shared" si="14"/>
      </c>
      <c r="R29" s="349">
        <f t="shared" si="4"/>
        <v>0</v>
      </c>
      <c r="S29" s="349">
        <f t="shared" si="5"/>
      </c>
      <c r="T29" s="153">
        <f>IF(Q29="","",IF(L29&lt;2008,100%,LOOKUP(L29,$L$5:$L$9,$M$5:M$9)))</f>
      </c>
      <c r="U29" s="154">
        <f t="shared" si="31"/>
      </c>
      <c r="V29" s="316">
        <f t="shared" si="15"/>
      </c>
      <c r="W29" s="155">
        <f t="shared" si="16"/>
      </c>
      <c r="X29" s="137">
        <f t="shared" si="6"/>
      </c>
      <c r="Y29" s="60">
        <f t="shared" si="7"/>
      </c>
      <c r="Z29" s="152">
        <f t="shared" si="8"/>
        <v>0</v>
      </c>
      <c r="AA29" s="152">
        <f t="shared" si="9"/>
      </c>
      <c r="AB29" s="60">
        <f t="shared" si="10"/>
      </c>
      <c r="AC29" s="60">
        <f t="shared" si="11"/>
        <v>0</v>
      </c>
      <c r="AD29" s="60">
        <f t="shared" si="17"/>
      </c>
      <c r="AE29" s="153">
        <f t="shared" si="18"/>
      </c>
      <c r="AF29" s="152">
        <f t="shared" si="19"/>
      </c>
      <c r="AG29" s="60">
        <f t="shared" si="20"/>
      </c>
      <c r="AH29" s="155">
        <f t="shared" si="21"/>
      </c>
      <c r="AI29" s="137">
        <f t="shared" si="12"/>
      </c>
      <c r="AJ29" s="60">
        <f t="shared" si="22"/>
      </c>
      <c r="AK29" s="152">
        <f t="shared" si="23"/>
        <v>0</v>
      </c>
      <c r="AL29" s="152">
        <f t="shared" si="24"/>
      </c>
      <c r="AM29" s="60">
        <f t="shared" si="25"/>
      </c>
      <c r="AN29" s="60">
        <f t="shared" si="26"/>
        <v>0</v>
      </c>
      <c r="AO29" s="156">
        <f t="shared" si="27"/>
      </c>
      <c r="AP29" s="153">
        <f t="shared" si="28"/>
      </c>
      <c r="AQ29" s="152">
        <f t="shared" si="29"/>
      </c>
      <c r="AR29" s="157">
        <f t="shared" si="30"/>
      </c>
      <c r="AS29" s="60">
        <v>10</v>
      </c>
    </row>
    <row r="30" spans="1:45" ht="12.75">
      <c r="A30" s="17"/>
      <c r="B30" s="17"/>
      <c r="C30" s="163" t="s">
        <v>67</v>
      </c>
      <c r="D30" s="164">
        <f>ROUND(D29+55%,2)</f>
        <v>0.68</v>
      </c>
      <c r="E30" s="138"/>
      <c r="F30" s="17"/>
      <c r="G30" s="17"/>
      <c r="H30" s="165"/>
      <c r="I30" s="138"/>
      <c r="J30" s="17"/>
      <c r="K30" s="17"/>
      <c r="L30" s="132">
        <f t="shared" si="13"/>
      </c>
      <c r="M30" s="351">
        <f t="shared" si="0"/>
      </c>
      <c r="N30" s="331">
        <f t="shared" si="1"/>
      </c>
      <c r="O30" s="358">
        <f t="shared" si="2"/>
        <v>0</v>
      </c>
      <c r="P30" s="358">
        <f t="shared" si="3"/>
      </c>
      <c r="Q30" s="331">
        <f t="shared" si="14"/>
      </c>
      <c r="R30" s="349">
        <f t="shared" si="4"/>
        <v>0</v>
      </c>
      <c r="S30" s="349">
        <f t="shared" si="5"/>
      </c>
      <c r="T30" s="153">
        <f>IF(Q30="","",IF(L30&lt;2008,100%,LOOKUP(L30,$L$5:$L$9,$M$5:M$9)))</f>
      </c>
      <c r="U30" s="154">
        <f t="shared" si="31"/>
      </c>
      <c r="V30" s="316">
        <f t="shared" si="15"/>
      </c>
      <c r="W30" s="155">
        <f t="shared" si="16"/>
      </c>
      <c r="X30" s="137">
        <f t="shared" si="6"/>
      </c>
      <c r="Y30" s="60">
        <f t="shared" si="7"/>
      </c>
      <c r="Z30" s="152">
        <f t="shared" si="8"/>
        <v>0</v>
      </c>
      <c r="AA30" s="152">
        <f t="shared" si="9"/>
      </c>
      <c r="AB30" s="60">
        <f t="shared" si="10"/>
      </c>
      <c r="AC30" s="60">
        <f t="shared" si="11"/>
        <v>0</v>
      </c>
      <c r="AD30" s="60">
        <f t="shared" si="17"/>
      </c>
      <c r="AE30" s="153">
        <f t="shared" si="18"/>
      </c>
      <c r="AF30" s="152">
        <f t="shared" si="19"/>
      </c>
      <c r="AG30" s="60">
        <f t="shared" si="20"/>
      </c>
      <c r="AH30" s="155">
        <f t="shared" si="21"/>
      </c>
      <c r="AI30" s="137">
        <f t="shared" si="12"/>
      </c>
      <c r="AJ30" s="60">
        <f t="shared" si="22"/>
      </c>
      <c r="AK30" s="152">
        <f t="shared" si="23"/>
        <v>0</v>
      </c>
      <c r="AL30" s="152">
        <f t="shared" si="24"/>
      </c>
      <c r="AM30" s="60">
        <f t="shared" si="25"/>
      </c>
      <c r="AN30" s="60">
        <f t="shared" si="26"/>
        <v>0</v>
      </c>
      <c r="AO30" s="156">
        <f t="shared" si="27"/>
      </c>
      <c r="AP30" s="153">
        <f t="shared" si="28"/>
      </c>
      <c r="AQ30" s="152">
        <f t="shared" si="29"/>
      </c>
      <c r="AR30" s="157">
        <f t="shared" si="30"/>
      </c>
      <c r="AS30" s="60">
        <v>11</v>
      </c>
    </row>
    <row r="31" spans="1:45" ht="12.75">
      <c r="A31" s="17"/>
      <c r="B31" s="17"/>
      <c r="C31" s="17"/>
      <c r="D31" s="17"/>
      <c r="E31" s="138"/>
      <c r="F31" s="17"/>
      <c r="G31" s="17"/>
      <c r="H31" s="165"/>
      <c r="I31" s="138"/>
      <c r="J31" s="17"/>
      <c r="K31" s="17"/>
      <c r="L31" s="132">
        <f t="shared" si="13"/>
      </c>
      <c r="M31" s="351">
        <f t="shared" si="0"/>
      </c>
      <c r="N31" s="331">
        <f t="shared" si="1"/>
      </c>
      <c r="O31" s="358">
        <f t="shared" si="2"/>
        <v>0</v>
      </c>
      <c r="P31" s="358">
        <f t="shared" si="3"/>
      </c>
      <c r="Q31" s="331">
        <f t="shared" si="14"/>
      </c>
      <c r="R31" s="349">
        <f t="shared" si="4"/>
        <v>0</v>
      </c>
      <c r="S31" s="349">
        <f t="shared" si="5"/>
      </c>
      <c r="T31" s="153">
        <f>IF(Q31="","",IF(L31&lt;2008,100%,LOOKUP(L31,$L$5:$L$9,$M$5:M$9)))</f>
      </c>
      <c r="U31" s="154">
        <f t="shared" si="31"/>
      </c>
      <c r="V31" s="316">
        <f t="shared" si="15"/>
      </c>
      <c r="W31" s="155">
        <f t="shared" si="16"/>
      </c>
      <c r="X31" s="137">
        <f t="shared" si="6"/>
      </c>
      <c r="Y31" s="60">
        <f t="shared" si="7"/>
      </c>
      <c r="Z31" s="152">
        <f t="shared" si="8"/>
        <v>0</v>
      </c>
      <c r="AA31" s="152">
        <f t="shared" si="9"/>
      </c>
      <c r="AB31" s="60">
        <f t="shared" si="10"/>
      </c>
      <c r="AC31" s="60">
        <f t="shared" si="11"/>
        <v>0</v>
      </c>
      <c r="AD31" s="60">
        <f t="shared" si="17"/>
      </c>
      <c r="AE31" s="153">
        <f t="shared" si="18"/>
      </c>
      <c r="AF31" s="152">
        <f t="shared" si="19"/>
      </c>
      <c r="AG31" s="60">
        <f t="shared" si="20"/>
      </c>
      <c r="AH31" s="155">
        <f t="shared" si="21"/>
      </c>
      <c r="AI31" s="137">
        <f t="shared" si="12"/>
      </c>
      <c r="AJ31" s="60">
        <f t="shared" si="22"/>
      </c>
      <c r="AK31" s="152">
        <f t="shared" si="23"/>
        <v>0</v>
      </c>
      <c r="AL31" s="152">
        <f t="shared" si="24"/>
      </c>
      <c r="AM31" s="60">
        <f t="shared" si="25"/>
      </c>
      <c r="AN31" s="60">
        <f t="shared" si="26"/>
        <v>0</v>
      </c>
      <c r="AO31" s="156">
        <f t="shared" si="27"/>
      </c>
      <c r="AP31" s="153">
        <f t="shared" si="28"/>
      </c>
      <c r="AQ31" s="152">
        <f t="shared" si="29"/>
      </c>
      <c r="AR31" s="157">
        <f t="shared" si="30"/>
      </c>
      <c r="AS31" s="60">
        <v>12</v>
      </c>
    </row>
    <row r="32" spans="1:45" ht="12.75">
      <c r="A32" s="166"/>
      <c r="B32" s="44"/>
      <c r="C32" s="44"/>
      <c r="D32" s="167" t="s">
        <v>58</v>
      </c>
      <c r="E32" s="17"/>
      <c r="F32" s="17"/>
      <c r="G32" s="17"/>
      <c r="H32" s="165"/>
      <c r="I32" s="138"/>
      <c r="J32" s="17"/>
      <c r="K32" s="17"/>
      <c r="L32" s="132">
        <f t="shared" si="13"/>
      </c>
      <c r="M32" s="351">
        <f t="shared" si="0"/>
      </c>
      <c r="N32" s="331">
        <f t="shared" si="1"/>
      </c>
      <c r="O32" s="358">
        <f t="shared" si="2"/>
        <v>0</v>
      </c>
      <c r="P32" s="358">
        <f t="shared" si="3"/>
      </c>
      <c r="Q32" s="331">
        <f t="shared" si="14"/>
      </c>
      <c r="R32" s="349">
        <f t="shared" si="4"/>
        <v>0</v>
      </c>
      <c r="S32" s="349">
        <f t="shared" si="5"/>
      </c>
      <c r="T32" s="153">
        <f>IF(Q32="","",IF(L32&lt;2008,100%,LOOKUP(L32,$L$5:$L$9,$M$5:M$9)))</f>
      </c>
      <c r="U32" s="154">
        <f t="shared" si="31"/>
      </c>
      <c r="V32" s="316">
        <f t="shared" si="15"/>
      </c>
      <c r="W32" s="155">
        <f t="shared" si="16"/>
      </c>
      <c r="X32" s="137">
        <f t="shared" si="6"/>
      </c>
      <c r="Y32" s="60">
        <f t="shared" si="7"/>
      </c>
      <c r="Z32" s="152">
        <f t="shared" si="8"/>
        <v>0</v>
      </c>
      <c r="AA32" s="152">
        <f t="shared" si="9"/>
      </c>
      <c r="AB32" s="60">
        <f t="shared" si="10"/>
      </c>
      <c r="AC32" s="60">
        <f t="shared" si="11"/>
        <v>0</v>
      </c>
      <c r="AD32" s="60">
        <f t="shared" si="17"/>
      </c>
      <c r="AE32" s="153">
        <f t="shared" si="18"/>
      </c>
      <c r="AF32" s="152">
        <f t="shared" si="19"/>
      </c>
      <c r="AG32" s="60">
        <f t="shared" si="20"/>
      </c>
      <c r="AH32" s="155">
        <f t="shared" si="21"/>
      </c>
      <c r="AI32" s="137">
        <f t="shared" si="12"/>
      </c>
      <c r="AJ32" s="60">
        <f t="shared" si="22"/>
      </c>
      <c r="AK32" s="152">
        <f t="shared" si="23"/>
        <v>0</v>
      </c>
      <c r="AL32" s="152">
        <f t="shared" si="24"/>
      </c>
      <c r="AM32" s="60">
        <f t="shared" si="25"/>
      </c>
      <c r="AN32" s="60">
        <f t="shared" si="26"/>
        <v>0</v>
      </c>
      <c r="AO32" s="156">
        <f t="shared" si="27"/>
      </c>
      <c r="AP32" s="153">
        <f t="shared" si="28"/>
      </c>
      <c r="AQ32" s="152">
        <f t="shared" si="29"/>
      </c>
      <c r="AR32" s="157">
        <f t="shared" si="30"/>
      </c>
      <c r="AS32" s="60">
        <v>13</v>
      </c>
    </row>
    <row r="33" spans="1:45" ht="12.75">
      <c r="A33" s="133" t="s">
        <v>70</v>
      </c>
      <c r="B33" s="17"/>
      <c r="C33" s="26"/>
      <c r="D33" s="158"/>
      <c r="E33" s="17"/>
      <c r="F33" s="17"/>
      <c r="G33" s="17"/>
      <c r="H33" s="165"/>
      <c r="I33" s="138"/>
      <c r="J33" s="17"/>
      <c r="K33" s="17"/>
      <c r="L33" s="132">
        <f t="shared" si="13"/>
      </c>
      <c r="M33" s="351">
        <f t="shared" si="0"/>
      </c>
      <c r="N33" s="331">
        <f t="shared" si="1"/>
      </c>
      <c r="O33" s="358">
        <f t="shared" si="2"/>
        <v>0</v>
      </c>
      <c r="P33" s="358">
        <f t="shared" si="3"/>
      </c>
      <c r="Q33" s="331">
        <f t="shared" si="14"/>
      </c>
      <c r="R33" s="349">
        <f t="shared" si="4"/>
        <v>0</v>
      </c>
      <c r="S33" s="349">
        <f t="shared" si="5"/>
      </c>
      <c r="T33" s="153">
        <f>IF(Q33="","",IF(L33&lt;2008,100%,LOOKUP(L33,$L$5:$L$9,$M$5:M$9)))</f>
      </c>
      <c r="U33" s="154">
        <f t="shared" si="31"/>
      </c>
      <c r="V33" s="316">
        <f t="shared" si="15"/>
      </c>
      <c r="W33" s="155">
        <f t="shared" si="16"/>
      </c>
      <c r="X33" s="137">
        <f t="shared" si="6"/>
      </c>
      <c r="Y33" s="60">
        <f t="shared" si="7"/>
      </c>
      <c r="Z33" s="152">
        <f t="shared" si="8"/>
        <v>0</v>
      </c>
      <c r="AA33" s="152">
        <f t="shared" si="9"/>
      </c>
      <c r="AB33" s="60">
        <f t="shared" si="10"/>
      </c>
      <c r="AC33" s="60">
        <f t="shared" si="11"/>
        <v>0</v>
      </c>
      <c r="AD33" s="60">
        <f t="shared" si="17"/>
      </c>
      <c r="AE33" s="153">
        <f t="shared" si="18"/>
      </c>
      <c r="AF33" s="152">
        <f t="shared" si="19"/>
      </c>
      <c r="AG33" s="60">
        <f t="shared" si="20"/>
      </c>
      <c r="AH33" s="155">
        <f t="shared" si="21"/>
      </c>
      <c r="AI33" s="137">
        <f t="shared" si="12"/>
      </c>
      <c r="AJ33" s="60">
        <f t="shared" si="22"/>
      </c>
      <c r="AK33" s="152">
        <f t="shared" si="23"/>
        <v>0</v>
      </c>
      <c r="AL33" s="152">
        <f t="shared" si="24"/>
      </c>
      <c r="AM33" s="60">
        <f t="shared" si="25"/>
      </c>
      <c r="AN33" s="60">
        <f t="shared" si="26"/>
        <v>0</v>
      </c>
      <c r="AO33" s="156">
        <f t="shared" si="27"/>
      </c>
      <c r="AP33" s="153">
        <f t="shared" si="28"/>
      </c>
      <c r="AQ33" s="152">
        <f t="shared" si="29"/>
      </c>
      <c r="AR33" s="157">
        <f t="shared" si="30"/>
      </c>
      <c r="AS33" s="60">
        <v>14</v>
      </c>
    </row>
    <row r="34" spans="1:45" ht="12.75">
      <c r="A34" s="133" t="s">
        <v>71</v>
      </c>
      <c r="B34" s="17"/>
      <c r="C34" s="26"/>
      <c r="D34" s="160"/>
      <c r="E34" s="17"/>
      <c r="F34" s="17"/>
      <c r="G34" s="17"/>
      <c r="H34" s="165"/>
      <c r="I34" s="138"/>
      <c r="J34" s="17"/>
      <c r="K34" s="17"/>
      <c r="L34" s="132">
        <f t="shared" si="13"/>
      </c>
      <c r="M34" s="351">
        <f t="shared" si="0"/>
      </c>
      <c r="N34" s="331">
        <f t="shared" si="1"/>
      </c>
      <c r="O34" s="358">
        <f t="shared" si="2"/>
        <v>0</v>
      </c>
      <c r="P34" s="358">
        <f t="shared" si="3"/>
      </c>
      <c r="Q34" s="331">
        <f t="shared" si="14"/>
      </c>
      <c r="R34" s="349">
        <f t="shared" si="4"/>
        <v>0</v>
      </c>
      <c r="S34" s="349">
        <f t="shared" si="5"/>
      </c>
      <c r="T34" s="153">
        <f>IF(Q34="","",IF(L34&lt;2008,100%,LOOKUP(L34,$L$5:$L$9,$M$5:M$9)))</f>
      </c>
      <c r="U34" s="154">
        <f t="shared" si="31"/>
      </c>
      <c r="V34" s="316">
        <f t="shared" si="15"/>
      </c>
      <c r="W34" s="155">
        <f t="shared" si="16"/>
      </c>
      <c r="X34" s="137">
        <f t="shared" si="6"/>
      </c>
      <c r="Y34" s="60">
        <f t="shared" si="7"/>
      </c>
      <c r="Z34" s="152">
        <f t="shared" si="8"/>
        <v>0</v>
      </c>
      <c r="AA34" s="152">
        <f t="shared" si="9"/>
      </c>
      <c r="AB34" s="60">
        <f t="shared" si="10"/>
      </c>
      <c r="AC34" s="60">
        <f t="shared" si="11"/>
        <v>0</v>
      </c>
      <c r="AD34" s="60">
        <f t="shared" si="17"/>
      </c>
      <c r="AE34" s="153">
        <f t="shared" si="18"/>
      </c>
      <c r="AF34" s="152">
        <f t="shared" si="19"/>
      </c>
      <c r="AG34" s="60">
        <f t="shared" si="20"/>
      </c>
      <c r="AH34" s="155">
        <f t="shared" si="21"/>
      </c>
      <c r="AI34" s="137">
        <f t="shared" si="12"/>
      </c>
      <c r="AJ34" s="60">
        <f t="shared" si="22"/>
      </c>
      <c r="AK34" s="152">
        <f t="shared" si="23"/>
        <v>0</v>
      </c>
      <c r="AL34" s="152">
        <f t="shared" si="24"/>
      </c>
      <c r="AM34" s="60">
        <f t="shared" si="25"/>
      </c>
      <c r="AN34" s="60">
        <f t="shared" si="26"/>
        <v>0</v>
      </c>
      <c r="AO34" s="156">
        <f t="shared" si="27"/>
      </c>
      <c r="AP34" s="153">
        <f t="shared" si="28"/>
      </c>
      <c r="AQ34" s="152">
        <f t="shared" si="29"/>
      </c>
      <c r="AR34" s="157">
        <f t="shared" si="30"/>
      </c>
      <c r="AS34" s="60">
        <v>15</v>
      </c>
    </row>
    <row r="35" spans="1:45" ht="12.75">
      <c r="A35" s="17"/>
      <c r="B35" s="17"/>
      <c r="C35" s="161" t="s">
        <v>66</v>
      </c>
      <c r="D35" s="162">
        <f>IF(D34="",ROUND(4.5%*13/4.5,2),ROUND(D34*13/4.5,2))</f>
        <v>0.13</v>
      </c>
      <c r="E35" s="17"/>
      <c r="F35" s="17"/>
      <c r="G35" s="17"/>
      <c r="H35" s="165"/>
      <c r="I35" s="138"/>
      <c r="J35" s="17"/>
      <c r="K35" s="17"/>
      <c r="L35" s="132">
        <f t="shared" si="13"/>
      </c>
      <c r="M35" s="351">
        <f t="shared" si="0"/>
      </c>
      <c r="N35" s="331">
        <f t="shared" si="1"/>
      </c>
      <c r="O35" s="358">
        <f t="shared" si="2"/>
        <v>0</v>
      </c>
      <c r="P35" s="358">
        <f t="shared" si="3"/>
      </c>
      <c r="Q35" s="331">
        <f t="shared" si="14"/>
      </c>
      <c r="R35" s="349">
        <f t="shared" si="4"/>
        <v>0</v>
      </c>
      <c r="S35" s="349">
        <f t="shared" si="5"/>
      </c>
      <c r="T35" s="153">
        <f>IF(Q35="","",IF(L35&lt;2008,100%,LOOKUP(L35,$L$5:$L$9,$M$5:M$9)))</f>
      </c>
      <c r="U35" s="154">
        <f t="shared" si="31"/>
      </c>
      <c r="V35" s="316">
        <f t="shared" si="15"/>
      </c>
      <c r="W35" s="155">
        <f t="shared" si="16"/>
      </c>
      <c r="X35" s="137">
        <f t="shared" si="6"/>
      </c>
      <c r="Y35" s="60">
        <f t="shared" si="7"/>
      </c>
      <c r="Z35" s="152">
        <f t="shared" si="8"/>
        <v>0</v>
      </c>
      <c r="AA35" s="152">
        <f t="shared" si="9"/>
      </c>
      <c r="AB35" s="60">
        <f t="shared" si="10"/>
      </c>
      <c r="AC35" s="60">
        <f t="shared" si="11"/>
        <v>0</v>
      </c>
      <c r="AD35" s="60">
        <f t="shared" si="17"/>
      </c>
      <c r="AE35" s="153">
        <f t="shared" si="18"/>
      </c>
      <c r="AF35" s="152">
        <f t="shared" si="19"/>
      </c>
      <c r="AG35" s="60">
        <f t="shared" si="20"/>
      </c>
      <c r="AH35" s="155">
        <f t="shared" si="21"/>
      </c>
      <c r="AI35" s="137">
        <f t="shared" si="12"/>
      </c>
      <c r="AJ35" s="60">
        <f t="shared" si="22"/>
      </c>
      <c r="AK35" s="152">
        <f t="shared" si="23"/>
        <v>0</v>
      </c>
      <c r="AL35" s="152">
        <f t="shared" si="24"/>
      </c>
      <c r="AM35" s="60">
        <f t="shared" si="25"/>
      </c>
      <c r="AN35" s="60">
        <f t="shared" si="26"/>
        <v>0</v>
      </c>
      <c r="AO35" s="156">
        <f t="shared" si="27"/>
      </c>
      <c r="AP35" s="153">
        <f t="shared" si="28"/>
      </c>
      <c r="AQ35" s="152">
        <f t="shared" si="29"/>
      </c>
      <c r="AR35" s="157">
        <f t="shared" si="30"/>
      </c>
      <c r="AS35" s="60">
        <v>16</v>
      </c>
    </row>
    <row r="36" spans="1:45" ht="12.75">
      <c r="A36" s="17"/>
      <c r="B36" s="17"/>
      <c r="C36" s="163" t="s">
        <v>67</v>
      </c>
      <c r="D36" s="164">
        <f>ROUND(D35+55%,2)</f>
        <v>0.68</v>
      </c>
      <c r="E36" s="17"/>
      <c r="F36" s="17"/>
      <c r="G36" s="17"/>
      <c r="H36" s="165"/>
      <c r="I36" s="138"/>
      <c r="J36" s="17"/>
      <c r="K36" s="17"/>
      <c r="L36" s="132">
        <f t="shared" si="13"/>
      </c>
      <c r="M36" s="351">
        <f t="shared" si="0"/>
      </c>
      <c r="N36" s="331">
        <f t="shared" si="1"/>
      </c>
      <c r="O36" s="358">
        <f t="shared" si="2"/>
        <v>0</v>
      </c>
      <c r="P36" s="358">
        <f t="shared" si="3"/>
      </c>
      <c r="Q36" s="331">
        <f t="shared" si="14"/>
      </c>
      <c r="R36" s="349">
        <f t="shared" si="4"/>
        <v>0</v>
      </c>
      <c r="S36" s="349">
        <f t="shared" si="5"/>
      </c>
      <c r="T36" s="153">
        <f>IF(Q36="","",IF(L36&lt;2008,100%,LOOKUP(L36,$L$5:$L$9,$M$5:M$9)))</f>
      </c>
      <c r="U36" s="154">
        <f t="shared" si="31"/>
      </c>
      <c r="V36" s="316">
        <f t="shared" si="15"/>
      </c>
      <c r="W36" s="155">
        <f t="shared" si="16"/>
      </c>
      <c r="X36" s="137">
        <f t="shared" si="6"/>
      </c>
      <c r="Y36" s="60">
        <f t="shared" si="7"/>
      </c>
      <c r="Z36" s="152">
        <f t="shared" si="8"/>
        <v>0</v>
      </c>
      <c r="AA36" s="152">
        <f t="shared" si="9"/>
      </c>
      <c r="AB36" s="60">
        <f t="shared" si="10"/>
      </c>
      <c r="AC36" s="60">
        <f t="shared" si="11"/>
        <v>0</v>
      </c>
      <c r="AD36" s="60">
        <f t="shared" si="17"/>
      </c>
      <c r="AE36" s="153">
        <f t="shared" si="18"/>
      </c>
      <c r="AF36" s="152">
        <f t="shared" si="19"/>
      </c>
      <c r="AG36" s="60">
        <f t="shared" si="20"/>
      </c>
      <c r="AH36" s="155">
        <f t="shared" si="21"/>
      </c>
      <c r="AI36" s="137">
        <f t="shared" si="12"/>
      </c>
      <c r="AJ36" s="60">
        <f t="shared" si="22"/>
      </c>
      <c r="AK36" s="152">
        <f t="shared" si="23"/>
        <v>0</v>
      </c>
      <c r="AL36" s="152">
        <f t="shared" si="24"/>
      </c>
      <c r="AM36" s="60">
        <f t="shared" si="25"/>
      </c>
      <c r="AN36" s="60">
        <f t="shared" si="26"/>
        <v>0</v>
      </c>
      <c r="AO36" s="156">
        <f t="shared" si="27"/>
      </c>
      <c r="AP36" s="153">
        <f t="shared" si="28"/>
      </c>
      <c r="AQ36" s="152">
        <f t="shared" si="29"/>
      </c>
      <c r="AR36" s="157">
        <f t="shared" si="30"/>
      </c>
      <c r="AS36" s="60">
        <v>17</v>
      </c>
    </row>
    <row r="37" spans="1:45" ht="12.75">
      <c r="A37" s="17"/>
      <c r="B37" s="17"/>
      <c r="C37" s="17"/>
      <c r="D37" s="17"/>
      <c r="E37" s="17"/>
      <c r="F37" s="17"/>
      <c r="G37" s="17"/>
      <c r="H37" s="165"/>
      <c r="I37" s="138"/>
      <c r="J37" s="17"/>
      <c r="K37" s="17"/>
      <c r="L37" s="132">
        <f t="shared" si="13"/>
      </c>
      <c r="M37" s="351">
        <f t="shared" si="0"/>
      </c>
      <c r="N37" s="331">
        <f t="shared" si="1"/>
      </c>
      <c r="O37" s="358">
        <f t="shared" si="2"/>
        <v>0</v>
      </c>
      <c r="P37" s="358">
        <f t="shared" si="3"/>
      </c>
      <c r="Q37" s="331">
        <f t="shared" si="14"/>
      </c>
      <c r="R37" s="349">
        <f t="shared" si="4"/>
        <v>0</v>
      </c>
      <c r="S37" s="349">
        <f t="shared" si="5"/>
      </c>
      <c r="T37" s="153">
        <f>IF(Q37="","",IF(L37&lt;2008,100%,LOOKUP(L37,$L$5:$L$9,$M$5:M$9)))</f>
      </c>
      <c r="U37" s="154">
        <f t="shared" si="31"/>
      </c>
      <c r="V37" s="316">
        <f t="shared" si="15"/>
      </c>
      <c r="W37" s="155">
        <f t="shared" si="16"/>
      </c>
      <c r="X37" s="137">
        <f t="shared" si="6"/>
      </c>
      <c r="Y37" s="60">
        <f t="shared" si="7"/>
      </c>
      <c r="Z37" s="152">
        <f t="shared" si="8"/>
        <v>0</v>
      </c>
      <c r="AA37" s="152">
        <f t="shared" si="9"/>
      </c>
      <c r="AB37" s="60">
        <f t="shared" si="10"/>
      </c>
      <c r="AC37" s="60">
        <f t="shared" si="11"/>
        <v>0</v>
      </c>
      <c r="AD37" s="60">
        <f t="shared" si="17"/>
      </c>
      <c r="AE37" s="153">
        <f t="shared" si="18"/>
      </c>
      <c r="AF37" s="152">
        <f t="shared" si="19"/>
      </c>
      <c r="AG37" s="60">
        <f t="shared" si="20"/>
      </c>
      <c r="AH37" s="155">
        <f t="shared" si="21"/>
      </c>
      <c r="AI37" s="137">
        <f t="shared" si="12"/>
      </c>
      <c r="AJ37" s="60">
        <f t="shared" si="22"/>
      </c>
      <c r="AK37" s="152">
        <f t="shared" si="23"/>
        <v>0</v>
      </c>
      <c r="AL37" s="152">
        <f t="shared" si="24"/>
      </c>
      <c r="AM37" s="60">
        <f t="shared" si="25"/>
      </c>
      <c r="AN37" s="60">
        <f t="shared" si="26"/>
        <v>0</v>
      </c>
      <c r="AO37" s="156">
        <f t="shared" si="27"/>
      </c>
      <c r="AP37" s="153">
        <f t="shared" si="28"/>
      </c>
      <c r="AQ37" s="152">
        <f t="shared" si="29"/>
      </c>
      <c r="AR37" s="157">
        <f t="shared" si="30"/>
      </c>
      <c r="AS37" s="60">
        <v>18</v>
      </c>
    </row>
    <row r="38" spans="1:45" ht="12.75">
      <c r="A38" s="17"/>
      <c r="B38" s="17"/>
      <c r="C38" s="17"/>
      <c r="D38" s="17"/>
      <c r="E38" s="17"/>
      <c r="F38" s="17"/>
      <c r="G38" s="17"/>
      <c r="H38" s="165"/>
      <c r="I38" s="138"/>
      <c r="J38" s="17"/>
      <c r="K38" s="17"/>
      <c r="L38" s="132">
        <f t="shared" si="13"/>
      </c>
      <c r="M38" s="351">
        <f t="shared" si="0"/>
      </c>
      <c r="N38" s="331">
        <f t="shared" si="1"/>
      </c>
      <c r="O38" s="358">
        <f t="shared" si="2"/>
        <v>0</v>
      </c>
      <c r="P38" s="358">
        <f t="shared" si="3"/>
      </c>
      <c r="Q38" s="331">
        <f t="shared" si="14"/>
      </c>
      <c r="R38" s="349">
        <f t="shared" si="4"/>
        <v>0</v>
      </c>
      <c r="S38" s="349">
        <f t="shared" si="5"/>
      </c>
      <c r="T38" s="153">
        <f>IF(Q38="","",IF(L38&lt;2008,100%,LOOKUP(L38,$L$5:$L$9,$M$5:M$9)))</f>
      </c>
      <c r="U38" s="154">
        <f t="shared" si="31"/>
      </c>
      <c r="V38" s="316">
        <f t="shared" si="15"/>
      </c>
      <c r="W38" s="155">
        <f t="shared" si="16"/>
      </c>
      <c r="X38" s="137">
        <f t="shared" si="6"/>
      </c>
      <c r="Y38" s="60">
        <f t="shared" si="7"/>
      </c>
      <c r="Z38" s="152">
        <f t="shared" si="8"/>
        <v>0</v>
      </c>
      <c r="AA38" s="152">
        <f t="shared" si="9"/>
      </c>
      <c r="AB38" s="60">
        <f t="shared" si="10"/>
      </c>
      <c r="AC38" s="60">
        <f t="shared" si="11"/>
        <v>0</v>
      </c>
      <c r="AD38" s="60">
        <f t="shared" si="17"/>
      </c>
      <c r="AE38" s="153">
        <f t="shared" si="18"/>
      </c>
      <c r="AF38" s="152">
        <f t="shared" si="19"/>
      </c>
      <c r="AG38" s="60">
        <f t="shared" si="20"/>
      </c>
      <c r="AH38" s="155">
        <f t="shared" si="21"/>
      </c>
      <c r="AI38" s="137">
        <f t="shared" si="12"/>
      </c>
      <c r="AJ38" s="60">
        <f t="shared" si="22"/>
      </c>
      <c r="AK38" s="152">
        <f t="shared" si="23"/>
        <v>0</v>
      </c>
      <c r="AL38" s="152">
        <f t="shared" si="24"/>
      </c>
      <c r="AM38" s="60">
        <f t="shared" si="25"/>
      </c>
      <c r="AN38" s="60">
        <f t="shared" si="26"/>
        <v>0</v>
      </c>
      <c r="AO38" s="156">
        <f t="shared" si="27"/>
      </c>
      <c r="AP38" s="153">
        <f t="shared" si="28"/>
      </c>
      <c r="AQ38" s="152">
        <f t="shared" si="29"/>
      </c>
      <c r="AR38" s="157">
        <f t="shared" si="30"/>
      </c>
      <c r="AS38" s="60">
        <v>19</v>
      </c>
    </row>
    <row r="39" spans="1:45" ht="15.75">
      <c r="A39" s="17"/>
      <c r="B39" s="17"/>
      <c r="C39" s="45" t="s">
        <v>52</v>
      </c>
      <c r="D39" s="138"/>
      <c r="E39" s="391">
        <f>SUM(AG50)</f>
        <v>0</v>
      </c>
      <c r="F39" s="392"/>
      <c r="G39" s="324"/>
      <c r="H39" s="324"/>
      <c r="I39" s="325"/>
      <c r="J39" s="17"/>
      <c r="K39" s="17"/>
      <c r="L39" s="132">
        <f t="shared" si="13"/>
      </c>
      <c r="M39" s="351">
        <f t="shared" si="0"/>
      </c>
      <c r="N39" s="331">
        <f t="shared" si="1"/>
      </c>
      <c r="O39" s="358">
        <f t="shared" si="2"/>
        <v>0</v>
      </c>
      <c r="P39" s="358">
        <f t="shared" si="3"/>
      </c>
      <c r="Q39" s="331">
        <f t="shared" si="14"/>
      </c>
      <c r="R39" s="349">
        <f t="shared" si="4"/>
        <v>0</v>
      </c>
      <c r="S39" s="349">
        <f t="shared" si="5"/>
      </c>
      <c r="T39" s="153">
        <f>IF(Q39="","",IF(L39&lt;2008,100%,LOOKUP(L39,$L$5:$L$9,$M$5:M$9)))</f>
      </c>
      <c r="U39" s="154">
        <f t="shared" si="31"/>
      </c>
      <c r="V39" s="316">
        <f t="shared" si="15"/>
      </c>
      <c r="W39" s="155">
        <f t="shared" si="16"/>
      </c>
      <c r="X39" s="137">
        <f t="shared" si="6"/>
      </c>
      <c r="Y39" s="60">
        <f t="shared" si="7"/>
      </c>
      <c r="Z39" s="152">
        <f t="shared" si="8"/>
        <v>0</v>
      </c>
      <c r="AA39" s="152">
        <f t="shared" si="9"/>
      </c>
      <c r="AB39" s="60">
        <f t="shared" si="10"/>
      </c>
      <c r="AC39" s="60">
        <f t="shared" si="11"/>
        <v>0</v>
      </c>
      <c r="AD39" s="60">
        <f t="shared" si="17"/>
      </c>
      <c r="AE39" s="153">
        <f t="shared" si="18"/>
      </c>
      <c r="AF39" s="152">
        <f t="shared" si="19"/>
      </c>
      <c r="AG39" s="60">
        <f t="shared" si="20"/>
      </c>
      <c r="AH39" s="155">
        <f t="shared" si="21"/>
      </c>
      <c r="AI39" s="137">
        <f t="shared" si="12"/>
      </c>
      <c r="AJ39" s="60">
        <f t="shared" si="22"/>
      </c>
      <c r="AK39" s="152">
        <f t="shared" si="23"/>
        <v>0</v>
      </c>
      <c r="AL39" s="152">
        <f t="shared" si="24"/>
      </c>
      <c r="AM39" s="60">
        <f t="shared" si="25"/>
      </c>
      <c r="AN39" s="60">
        <f t="shared" si="26"/>
        <v>0</v>
      </c>
      <c r="AO39" s="156">
        <f t="shared" si="27"/>
      </c>
      <c r="AP39" s="153">
        <f t="shared" si="28"/>
      </c>
      <c r="AQ39" s="152">
        <f t="shared" si="29"/>
      </c>
      <c r="AR39" s="157">
        <f t="shared" si="30"/>
      </c>
      <c r="AS39" s="60">
        <v>20</v>
      </c>
    </row>
    <row r="40" spans="1:45" ht="15.75">
      <c r="A40" s="17"/>
      <c r="B40" s="17"/>
      <c r="C40" s="45" t="s">
        <v>47</v>
      </c>
      <c r="D40" s="138"/>
      <c r="E40" s="391">
        <f>SUM(V50)</f>
        <v>0</v>
      </c>
      <c r="F40" s="392"/>
      <c r="G40" s="326"/>
      <c r="H40" s="324"/>
      <c r="I40" s="325"/>
      <c r="J40" s="17"/>
      <c r="K40" s="17"/>
      <c r="L40" s="132">
        <f t="shared" si="13"/>
      </c>
      <c r="M40" s="351">
        <f t="shared" si="0"/>
      </c>
      <c r="N40" s="331">
        <f t="shared" si="1"/>
      </c>
      <c r="O40" s="358">
        <f t="shared" si="2"/>
        <v>0</v>
      </c>
      <c r="P40" s="358">
        <f t="shared" si="3"/>
      </c>
      <c r="Q40" s="331">
        <f t="shared" si="14"/>
      </c>
      <c r="R40" s="349">
        <f t="shared" si="4"/>
        <v>0</v>
      </c>
      <c r="S40" s="349">
        <f t="shared" si="5"/>
      </c>
      <c r="T40" s="153">
        <f>IF(Q40="","",IF(L40&lt;2008,100%,LOOKUP(L40,$L$5:$L$9,$M$5:M$9)))</f>
      </c>
      <c r="U40" s="154">
        <f t="shared" si="31"/>
      </c>
      <c r="V40" s="316">
        <f t="shared" si="15"/>
      </c>
      <c r="W40" s="155">
        <f t="shared" si="16"/>
      </c>
      <c r="X40" s="137">
        <f t="shared" si="6"/>
      </c>
      <c r="Y40" s="60">
        <f t="shared" si="7"/>
      </c>
      <c r="Z40" s="152">
        <f t="shared" si="8"/>
        <v>0</v>
      </c>
      <c r="AA40" s="152">
        <f t="shared" si="9"/>
      </c>
      <c r="AB40" s="60">
        <f t="shared" si="10"/>
      </c>
      <c r="AC40" s="60">
        <f t="shared" si="11"/>
        <v>0</v>
      </c>
      <c r="AD40" s="60">
        <f t="shared" si="17"/>
      </c>
      <c r="AE40" s="153">
        <f t="shared" si="18"/>
      </c>
      <c r="AF40" s="152">
        <f t="shared" si="19"/>
      </c>
      <c r="AG40" s="60">
        <f t="shared" si="20"/>
      </c>
      <c r="AH40" s="155">
        <f t="shared" si="21"/>
      </c>
      <c r="AI40" s="137">
        <f t="shared" si="12"/>
      </c>
      <c r="AJ40" s="60">
        <f t="shared" si="22"/>
      </c>
      <c r="AK40" s="152">
        <f t="shared" si="23"/>
        <v>0</v>
      </c>
      <c r="AL40" s="152">
        <f t="shared" si="24"/>
      </c>
      <c r="AM40" s="60">
        <f t="shared" si="25"/>
      </c>
      <c r="AN40" s="60">
        <f t="shared" si="26"/>
        <v>0</v>
      </c>
      <c r="AO40" s="156">
        <f t="shared" si="27"/>
      </c>
      <c r="AP40" s="153">
        <f t="shared" si="28"/>
      </c>
      <c r="AQ40" s="152">
        <f t="shared" si="29"/>
      </c>
      <c r="AR40" s="157">
        <f t="shared" si="30"/>
      </c>
      <c r="AS40" s="60">
        <v>21</v>
      </c>
    </row>
    <row r="41" spans="1:45" ht="15.75">
      <c r="A41" s="17"/>
      <c r="B41" s="17"/>
      <c r="C41" s="45" t="s">
        <v>54</v>
      </c>
      <c r="D41" s="138"/>
      <c r="E41" s="391">
        <f>SUM(AR50)</f>
        <v>0</v>
      </c>
      <c r="F41" s="392"/>
      <c r="G41" s="324"/>
      <c r="H41" s="324"/>
      <c r="I41" s="325"/>
      <c r="J41" s="17"/>
      <c r="K41" s="17"/>
      <c r="L41" s="132">
        <f t="shared" si="13"/>
      </c>
      <c r="M41" s="351">
        <f t="shared" si="0"/>
      </c>
      <c r="N41" s="331">
        <f t="shared" si="1"/>
      </c>
      <c r="O41" s="358">
        <f t="shared" si="2"/>
        <v>0</v>
      </c>
      <c r="P41" s="358">
        <f t="shared" si="3"/>
      </c>
      <c r="Q41" s="331">
        <f t="shared" si="14"/>
      </c>
      <c r="R41" s="349">
        <f t="shared" si="4"/>
        <v>0</v>
      </c>
      <c r="S41" s="349">
        <f t="shared" si="5"/>
      </c>
      <c r="T41" s="153">
        <f>IF(Q41="","",IF(L41&lt;2008,100%,LOOKUP(L41,$L$5:$L$9,$M$5:M$9)))</f>
      </c>
      <c r="U41" s="154">
        <f t="shared" si="31"/>
      </c>
      <c r="V41" s="316">
        <f t="shared" si="15"/>
      </c>
      <c r="W41" s="155">
        <f t="shared" si="16"/>
      </c>
      <c r="X41" s="137">
        <f t="shared" si="6"/>
      </c>
      <c r="Y41" s="60">
        <f t="shared" si="7"/>
      </c>
      <c r="Z41" s="152">
        <f t="shared" si="8"/>
        <v>0</v>
      </c>
      <c r="AA41" s="152">
        <f t="shared" si="9"/>
      </c>
      <c r="AB41" s="60">
        <f t="shared" si="10"/>
      </c>
      <c r="AC41" s="60">
        <f t="shared" si="11"/>
        <v>0</v>
      </c>
      <c r="AD41" s="60">
        <f t="shared" si="17"/>
      </c>
      <c r="AE41" s="153">
        <f t="shared" si="18"/>
      </c>
      <c r="AF41" s="152">
        <f t="shared" si="19"/>
      </c>
      <c r="AG41" s="60">
        <f t="shared" si="20"/>
      </c>
      <c r="AH41" s="155">
        <f t="shared" si="21"/>
      </c>
      <c r="AI41" s="137">
        <f t="shared" si="12"/>
      </c>
      <c r="AJ41" s="60">
        <f t="shared" si="22"/>
      </c>
      <c r="AK41" s="152">
        <f t="shared" si="23"/>
        <v>0</v>
      </c>
      <c r="AL41" s="152">
        <f t="shared" si="24"/>
      </c>
      <c r="AM41" s="60">
        <f t="shared" si="25"/>
      </c>
      <c r="AN41" s="60">
        <f t="shared" si="26"/>
        <v>0</v>
      </c>
      <c r="AO41" s="156">
        <f t="shared" si="27"/>
      </c>
      <c r="AP41" s="153">
        <f t="shared" si="28"/>
      </c>
      <c r="AQ41" s="152">
        <f t="shared" si="29"/>
      </c>
      <c r="AR41" s="157">
        <f t="shared" si="30"/>
      </c>
      <c r="AS41" s="60">
        <v>22</v>
      </c>
    </row>
    <row r="42" spans="1:45" ht="13.5" thickBot="1">
      <c r="A42" s="17"/>
      <c r="B42" s="17"/>
      <c r="C42" s="165"/>
      <c r="D42" s="138"/>
      <c r="E42" s="17"/>
      <c r="F42" s="17"/>
      <c r="G42" s="291"/>
      <c r="H42" s="165"/>
      <c r="I42" s="138"/>
      <c r="J42" s="17"/>
      <c r="K42" s="17"/>
      <c r="L42" s="132">
        <f t="shared" si="13"/>
      </c>
      <c r="M42" s="351">
        <f t="shared" si="0"/>
      </c>
      <c r="N42" s="331">
        <f t="shared" si="1"/>
      </c>
      <c r="O42" s="358">
        <f t="shared" si="2"/>
        <v>0</v>
      </c>
      <c r="P42" s="358">
        <f t="shared" si="3"/>
      </c>
      <c r="Q42" s="331">
        <f t="shared" si="14"/>
      </c>
      <c r="R42" s="349">
        <f t="shared" si="4"/>
        <v>0</v>
      </c>
      <c r="S42" s="349">
        <f t="shared" si="5"/>
      </c>
      <c r="T42" s="153">
        <f>IF(Q42="","",IF(L42&lt;2008,100%,LOOKUP(L42,$L$5:$L$9,$M$5:M$9)))</f>
      </c>
      <c r="U42" s="154">
        <f t="shared" si="31"/>
      </c>
      <c r="V42" s="316">
        <f t="shared" si="15"/>
      </c>
      <c r="W42" s="155">
        <f t="shared" si="16"/>
      </c>
      <c r="X42" s="137">
        <f t="shared" si="6"/>
      </c>
      <c r="Y42" s="60">
        <f t="shared" si="7"/>
      </c>
      <c r="Z42" s="152">
        <f t="shared" si="8"/>
        <v>0</v>
      </c>
      <c r="AA42" s="152">
        <f t="shared" si="9"/>
      </c>
      <c r="AB42" s="60">
        <f t="shared" si="10"/>
      </c>
      <c r="AC42" s="60">
        <f t="shared" si="11"/>
        <v>0</v>
      </c>
      <c r="AD42" s="60">
        <f t="shared" si="17"/>
      </c>
      <c r="AE42" s="153">
        <f t="shared" si="18"/>
      </c>
      <c r="AF42" s="152">
        <f t="shared" si="19"/>
      </c>
      <c r="AG42" s="60">
        <f t="shared" si="20"/>
      </c>
      <c r="AH42" s="155">
        <f t="shared" si="21"/>
      </c>
      <c r="AI42" s="137">
        <f t="shared" si="12"/>
      </c>
      <c r="AJ42" s="60">
        <f t="shared" si="22"/>
      </c>
      <c r="AK42" s="152">
        <f t="shared" si="23"/>
        <v>0</v>
      </c>
      <c r="AL42" s="152">
        <f t="shared" si="24"/>
      </c>
      <c r="AM42" s="60">
        <f t="shared" si="25"/>
      </c>
      <c r="AN42" s="60">
        <f t="shared" si="26"/>
        <v>0</v>
      </c>
      <c r="AO42" s="156">
        <f t="shared" si="27"/>
      </c>
      <c r="AP42" s="153">
        <f t="shared" si="28"/>
      </c>
      <c r="AQ42" s="152">
        <f t="shared" si="29"/>
      </c>
      <c r="AR42" s="157">
        <f t="shared" si="30"/>
      </c>
      <c r="AS42" s="60">
        <v>23</v>
      </c>
    </row>
    <row r="43" spans="1:45" ht="13.5" thickBot="1">
      <c r="A43" s="45" t="s">
        <v>73</v>
      </c>
      <c r="B43" s="45"/>
      <c r="C43" s="45"/>
      <c r="D43" s="169"/>
      <c r="E43" s="393">
        <f>SUM(E39-E40-E41)</f>
        <v>0</v>
      </c>
      <c r="F43" s="394"/>
      <c r="G43" s="291"/>
      <c r="H43" s="17"/>
      <c r="I43" s="80"/>
      <c r="J43" s="17"/>
      <c r="K43" s="17"/>
      <c r="L43" s="132">
        <f t="shared" si="13"/>
      </c>
      <c r="M43" s="351">
        <f t="shared" si="0"/>
      </c>
      <c r="N43" s="331">
        <f t="shared" si="1"/>
      </c>
      <c r="O43" s="358">
        <f t="shared" si="2"/>
        <v>0</v>
      </c>
      <c r="P43" s="358">
        <f t="shared" si="3"/>
      </c>
      <c r="Q43" s="331">
        <f t="shared" si="14"/>
      </c>
      <c r="R43" s="349">
        <f t="shared" si="4"/>
        <v>0</v>
      </c>
      <c r="S43" s="349">
        <f t="shared" si="5"/>
      </c>
      <c r="T43" s="153">
        <f>IF(Q43="","",IF(L43&lt;2008,100%,LOOKUP(L43,$L$5:$L$9,$M$5:M$9)))</f>
      </c>
      <c r="U43" s="154">
        <f t="shared" si="31"/>
      </c>
      <c r="V43" s="316">
        <f t="shared" si="15"/>
      </c>
      <c r="W43" s="155">
        <f t="shared" si="16"/>
      </c>
      <c r="X43" s="137">
        <f t="shared" si="6"/>
      </c>
      <c r="Y43" s="60">
        <f t="shared" si="7"/>
      </c>
      <c r="Z43" s="152">
        <f t="shared" si="8"/>
        <v>0</v>
      </c>
      <c r="AA43" s="152">
        <f t="shared" si="9"/>
      </c>
      <c r="AB43" s="60">
        <f t="shared" si="10"/>
      </c>
      <c r="AC43" s="60">
        <f t="shared" si="11"/>
        <v>0</v>
      </c>
      <c r="AD43" s="60">
        <f t="shared" si="17"/>
      </c>
      <c r="AE43" s="153">
        <f t="shared" si="18"/>
      </c>
      <c r="AF43" s="152">
        <f t="shared" si="19"/>
      </c>
      <c r="AG43" s="60">
        <f t="shared" si="20"/>
      </c>
      <c r="AH43" s="155">
        <f t="shared" si="21"/>
      </c>
      <c r="AI43" s="137">
        <f t="shared" si="12"/>
      </c>
      <c r="AJ43" s="60">
        <f t="shared" si="22"/>
      </c>
      <c r="AK43" s="152">
        <f t="shared" si="23"/>
        <v>0</v>
      </c>
      <c r="AL43" s="152">
        <f t="shared" si="24"/>
      </c>
      <c r="AM43" s="60">
        <f t="shared" si="25"/>
      </c>
      <c r="AN43" s="60">
        <f t="shared" si="26"/>
        <v>0</v>
      </c>
      <c r="AO43" s="156">
        <f t="shared" si="27"/>
      </c>
      <c r="AP43" s="153">
        <f t="shared" si="28"/>
      </c>
      <c r="AQ43" s="152">
        <f t="shared" si="29"/>
      </c>
      <c r="AR43" s="157">
        <f t="shared" si="30"/>
      </c>
      <c r="AS43" s="60">
        <v>24</v>
      </c>
    </row>
    <row r="44" spans="1:45" ht="12.75">
      <c r="A44" s="17"/>
      <c r="B44" s="17"/>
      <c r="C44" s="17"/>
      <c r="D44" s="17"/>
      <c r="E44" s="17"/>
      <c r="F44" s="17"/>
      <c r="G44" s="291"/>
      <c r="H44" s="17"/>
      <c r="I44" s="17"/>
      <c r="J44" s="17"/>
      <c r="K44" s="17"/>
      <c r="L44" s="132">
        <f t="shared" si="13"/>
      </c>
      <c r="M44" s="351">
        <f t="shared" si="0"/>
      </c>
      <c r="N44" s="331">
        <f t="shared" si="1"/>
      </c>
      <c r="O44" s="358">
        <f t="shared" si="2"/>
        <v>0</v>
      </c>
      <c r="P44" s="358">
        <f t="shared" si="3"/>
      </c>
      <c r="Q44" s="331">
        <f t="shared" si="14"/>
      </c>
      <c r="R44" s="349">
        <f t="shared" si="4"/>
        <v>0</v>
      </c>
      <c r="S44" s="349">
        <f t="shared" si="5"/>
      </c>
      <c r="T44" s="153">
        <f>IF(Q44="","",IF(L44&lt;2008,100%,LOOKUP(L44,$L$5:$L$9,$M$5:M$9)))</f>
      </c>
      <c r="U44" s="154">
        <f t="shared" si="31"/>
      </c>
      <c r="V44" s="316">
        <f t="shared" si="15"/>
      </c>
      <c r="W44" s="155">
        <f t="shared" si="16"/>
      </c>
      <c r="X44" s="137">
        <f t="shared" si="6"/>
      </c>
      <c r="Y44" s="60">
        <f t="shared" si="7"/>
      </c>
      <c r="Z44" s="152">
        <f t="shared" si="8"/>
        <v>0</v>
      </c>
      <c r="AA44" s="152">
        <f t="shared" si="9"/>
      </c>
      <c r="AB44" s="60">
        <f t="shared" si="10"/>
      </c>
      <c r="AC44" s="60">
        <f t="shared" si="11"/>
        <v>0</v>
      </c>
      <c r="AD44" s="60">
        <f t="shared" si="17"/>
      </c>
      <c r="AE44" s="153">
        <f t="shared" si="18"/>
      </c>
      <c r="AF44" s="152">
        <f t="shared" si="19"/>
      </c>
      <c r="AG44" s="60">
        <f t="shared" si="20"/>
      </c>
      <c r="AH44" s="155">
        <f t="shared" si="21"/>
      </c>
      <c r="AI44" s="137">
        <f t="shared" si="12"/>
      </c>
      <c r="AJ44" s="60">
        <f t="shared" si="22"/>
      </c>
      <c r="AK44" s="152">
        <f t="shared" si="23"/>
        <v>0</v>
      </c>
      <c r="AL44" s="152">
        <f t="shared" si="24"/>
      </c>
      <c r="AM44" s="60">
        <f t="shared" si="25"/>
      </c>
      <c r="AN44" s="60">
        <f t="shared" si="26"/>
        <v>0</v>
      </c>
      <c r="AO44" s="156">
        <f t="shared" si="27"/>
      </c>
      <c r="AP44" s="153">
        <f t="shared" si="28"/>
      </c>
      <c r="AQ44" s="152">
        <f t="shared" si="29"/>
      </c>
      <c r="AR44" s="157">
        <f t="shared" si="30"/>
      </c>
      <c r="AS44" s="60">
        <v>25</v>
      </c>
    </row>
    <row r="45" spans="1:4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32">
        <f t="shared" si="13"/>
      </c>
      <c r="M45" s="351">
        <f t="shared" si="0"/>
      </c>
      <c r="N45" s="331">
        <f t="shared" si="1"/>
      </c>
      <c r="O45" s="358">
        <f t="shared" si="2"/>
        <v>0</v>
      </c>
      <c r="P45" s="358">
        <f t="shared" si="3"/>
      </c>
      <c r="Q45" s="331">
        <f t="shared" si="14"/>
      </c>
      <c r="R45" s="349">
        <f t="shared" si="4"/>
        <v>0</v>
      </c>
      <c r="S45" s="349">
        <f t="shared" si="5"/>
      </c>
      <c r="T45" s="153">
        <f>IF(Q45="","",IF(L45&lt;2008,100%,LOOKUP(L45,$L$5:$L$9,$M$5:M$9)))</f>
      </c>
      <c r="U45" s="154">
        <f t="shared" si="31"/>
      </c>
      <c r="V45" s="316">
        <f t="shared" si="15"/>
      </c>
      <c r="W45" s="155">
        <f t="shared" si="16"/>
      </c>
      <c r="X45" s="137">
        <f t="shared" si="6"/>
      </c>
      <c r="Y45" s="60">
        <f t="shared" si="7"/>
      </c>
      <c r="Z45" s="152">
        <f t="shared" si="8"/>
        <v>0</v>
      </c>
      <c r="AA45" s="152">
        <f t="shared" si="9"/>
      </c>
      <c r="AB45" s="60">
        <f t="shared" si="10"/>
      </c>
      <c r="AC45" s="60">
        <f t="shared" si="11"/>
        <v>0</v>
      </c>
      <c r="AD45" s="60">
        <f t="shared" si="17"/>
      </c>
      <c r="AE45" s="153">
        <f t="shared" si="18"/>
      </c>
      <c r="AF45" s="152">
        <f t="shared" si="19"/>
      </c>
      <c r="AG45" s="60">
        <f t="shared" si="20"/>
      </c>
      <c r="AH45" s="155">
        <f t="shared" si="21"/>
      </c>
      <c r="AI45" s="137">
        <f t="shared" si="12"/>
      </c>
      <c r="AJ45" s="60">
        <f t="shared" si="22"/>
      </c>
      <c r="AK45" s="152">
        <f t="shared" si="23"/>
        <v>0</v>
      </c>
      <c r="AL45" s="152">
        <f t="shared" si="24"/>
      </c>
      <c r="AM45" s="60">
        <f t="shared" si="25"/>
      </c>
      <c r="AN45" s="60">
        <f t="shared" si="26"/>
        <v>0</v>
      </c>
      <c r="AO45" s="156">
        <f t="shared" si="27"/>
      </c>
      <c r="AP45" s="153">
        <f t="shared" si="28"/>
      </c>
      <c r="AQ45" s="152">
        <f t="shared" si="29"/>
      </c>
      <c r="AR45" s="157">
        <f t="shared" si="30"/>
      </c>
      <c r="AS45" s="60">
        <v>26</v>
      </c>
    </row>
    <row r="46" spans="1:45" ht="12.75">
      <c r="A46" s="4" t="s">
        <v>74</v>
      </c>
      <c r="B46" s="17"/>
      <c r="C46" s="380">
        <f ca="1">TODAY()</f>
        <v>45365</v>
      </c>
      <c r="D46" s="17"/>
      <c r="E46" s="17"/>
      <c r="F46" s="17"/>
      <c r="G46" s="17"/>
      <c r="H46" s="17"/>
      <c r="I46" s="17"/>
      <c r="J46" s="17"/>
      <c r="K46" s="17"/>
      <c r="L46" s="132">
        <f t="shared" si="13"/>
      </c>
      <c r="M46" s="351">
        <f t="shared" si="0"/>
      </c>
      <c r="N46" s="331">
        <f t="shared" si="1"/>
      </c>
      <c r="O46" s="358">
        <f t="shared" si="2"/>
        <v>0</v>
      </c>
      <c r="P46" s="358">
        <f t="shared" si="3"/>
      </c>
      <c r="Q46" s="331">
        <f t="shared" si="14"/>
      </c>
      <c r="R46" s="349">
        <f t="shared" si="4"/>
        <v>0</v>
      </c>
      <c r="S46" s="349">
        <f t="shared" si="5"/>
      </c>
      <c r="T46" s="153">
        <f>IF(Q46="","",IF(L46&lt;2008,100%,LOOKUP(L46,$L$5:$L$9,$M$5:M$9)))</f>
      </c>
      <c r="U46" s="154">
        <f t="shared" si="31"/>
      </c>
      <c r="V46" s="316">
        <f t="shared" si="15"/>
      </c>
      <c r="W46" s="155">
        <f t="shared" si="16"/>
      </c>
      <c r="X46" s="137">
        <f t="shared" si="6"/>
      </c>
      <c r="Y46" s="60">
        <f t="shared" si="7"/>
      </c>
      <c r="Z46" s="152">
        <f t="shared" si="8"/>
        <v>0</v>
      </c>
      <c r="AA46" s="152">
        <f t="shared" si="9"/>
      </c>
      <c r="AB46" s="60">
        <f t="shared" si="10"/>
      </c>
      <c r="AC46" s="60">
        <f t="shared" si="11"/>
        <v>0</v>
      </c>
      <c r="AD46" s="60">
        <f t="shared" si="17"/>
      </c>
      <c r="AE46" s="153">
        <f t="shared" si="18"/>
      </c>
      <c r="AF46" s="152">
        <f t="shared" si="19"/>
      </c>
      <c r="AG46" s="60">
        <f t="shared" si="20"/>
      </c>
      <c r="AH46" s="155">
        <f t="shared" si="21"/>
      </c>
      <c r="AI46" s="137">
        <f t="shared" si="12"/>
      </c>
      <c r="AJ46" s="60">
        <f t="shared" si="22"/>
      </c>
      <c r="AK46" s="152">
        <f t="shared" si="23"/>
        <v>0</v>
      </c>
      <c r="AL46" s="152">
        <f t="shared" si="24"/>
      </c>
      <c r="AM46" s="60">
        <f t="shared" si="25"/>
      </c>
      <c r="AN46" s="60">
        <f t="shared" si="26"/>
        <v>0</v>
      </c>
      <c r="AO46" s="156">
        <f t="shared" si="27"/>
      </c>
      <c r="AP46" s="153">
        <f t="shared" si="28"/>
      </c>
      <c r="AQ46" s="152">
        <f t="shared" si="29"/>
      </c>
      <c r="AR46" s="157">
        <f t="shared" si="30"/>
      </c>
      <c r="AS46" s="60">
        <v>27</v>
      </c>
    </row>
    <row r="47" spans="1:4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32">
        <f t="shared" si="13"/>
      </c>
      <c r="M47" s="351">
        <f t="shared" si="0"/>
      </c>
      <c r="N47" s="331">
        <f t="shared" si="1"/>
      </c>
      <c r="O47" s="358">
        <f t="shared" si="2"/>
        <v>0</v>
      </c>
      <c r="P47" s="358">
        <f t="shared" si="3"/>
      </c>
      <c r="Q47" s="331">
        <f t="shared" si="14"/>
      </c>
      <c r="R47" s="349">
        <f t="shared" si="4"/>
        <v>0</v>
      </c>
      <c r="S47" s="349">
        <f t="shared" si="5"/>
      </c>
      <c r="T47" s="153">
        <f>IF(Q47="","",IF(L47&lt;2008,100%,LOOKUP(L47,$L$5:$L$9,$M$5:M$9)))</f>
      </c>
      <c r="U47" s="154">
        <f t="shared" si="31"/>
      </c>
      <c r="V47" s="316">
        <f t="shared" si="15"/>
      </c>
      <c r="W47" s="155">
        <f t="shared" si="16"/>
      </c>
      <c r="X47" s="137">
        <f t="shared" si="6"/>
      </c>
      <c r="Y47" s="60">
        <f t="shared" si="7"/>
      </c>
      <c r="Z47" s="152">
        <f t="shared" si="8"/>
        <v>0</v>
      </c>
      <c r="AA47" s="152">
        <f t="shared" si="9"/>
      </c>
      <c r="AB47" s="60">
        <f t="shared" si="10"/>
      </c>
      <c r="AC47" s="60">
        <f t="shared" si="11"/>
        <v>0</v>
      </c>
      <c r="AD47" s="60">
        <f t="shared" si="17"/>
      </c>
      <c r="AE47" s="153">
        <f t="shared" si="18"/>
      </c>
      <c r="AF47" s="152">
        <f t="shared" si="19"/>
      </c>
      <c r="AG47" s="60">
        <f t="shared" si="20"/>
      </c>
      <c r="AH47" s="155">
        <f t="shared" si="21"/>
      </c>
      <c r="AI47" s="137">
        <f t="shared" si="12"/>
      </c>
      <c r="AJ47" s="60">
        <f t="shared" si="22"/>
      </c>
      <c r="AK47" s="152">
        <f t="shared" si="23"/>
        <v>0</v>
      </c>
      <c r="AL47" s="152">
        <f t="shared" si="24"/>
      </c>
      <c r="AM47" s="60">
        <f t="shared" si="25"/>
      </c>
      <c r="AN47" s="60">
        <f t="shared" si="26"/>
        <v>0</v>
      </c>
      <c r="AO47" s="156">
        <f t="shared" si="27"/>
      </c>
      <c r="AP47" s="153">
        <f t="shared" si="28"/>
      </c>
      <c r="AQ47" s="152">
        <f t="shared" si="29"/>
      </c>
      <c r="AR47" s="157">
        <f t="shared" si="30"/>
      </c>
      <c r="AS47" s="60">
        <v>28</v>
      </c>
    </row>
    <row r="48" spans="1:45" ht="12.75">
      <c r="A48" s="159"/>
      <c r="B48" s="17"/>
      <c r="C48" s="17"/>
      <c r="D48" s="17"/>
      <c r="E48" s="17"/>
      <c r="F48" s="17"/>
      <c r="G48" s="17"/>
      <c r="H48" s="17"/>
      <c r="I48" s="17"/>
      <c r="J48" s="133" t="s">
        <v>172</v>
      </c>
      <c r="K48" s="17"/>
      <c r="L48" s="132">
        <f t="shared" si="13"/>
      </c>
      <c r="M48" s="351">
        <f t="shared" si="0"/>
      </c>
      <c r="N48" s="331">
        <f t="shared" si="1"/>
      </c>
      <c r="O48" s="358">
        <f t="shared" si="2"/>
        <v>0</v>
      </c>
      <c r="P48" s="358">
        <f t="shared" si="3"/>
      </c>
      <c r="Q48" s="331">
        <f t="shared" si="14"/>
      </c>
      <c r="R48" s="349">
        <f t="shared" si="4"/>
        <v>0</v>
      </c>
      <c r="S48" s="349">
        <f t="shared" si="5"/>
      </c>
      <c r="T48" s="153">
        <f>IF(Q48="","",IF(L48&lt;2008,100%,LOOKUP(L48,$L$5:$L$9,$M$5:M$9)))</f>
      </c>
      <c r="U48" s="154">
        <f t="shared" si="31"/>
      </c>
      <c r="V48" s="316">
        <f t="shared" si="15"/>
      </c>
      <c r="W48" s="155">
        <f t="shared" si="16"/>
      </c>
      <c r="X48" s="137">
        <f t="shared" si="6"/>
      </c>
      <c r="Y48" s="60">
        <f t="shared" si="7"/>
      </c>
      <c r="Z48" s="152">
        <f t="shared" si="8"/>
        <v>0</v>
      </c>
      <c r="AA48" s="152">
        <f t="shared" si="9"/>
      </c>
      <c r="AB48" s="60">
        <f t="shared" si="10"/>
      </c>
      <c r="AC48" s="60">
        <f t="shared" si="11"/>
        <v>0</v>
      </c>
      <c r="AD48" s="60">
        <f t="shared" si="17"/>
      </c>
      <c r="AE48" s="153">
        <f t="shared" si="18"/>
      </c>
      <c r="AF48" s="152">
        <f t="shared" si="19"/>
      </c>
      <c r="AG48" s="60">
        <f t="shared" si="20"/>
      </c>
      <c r="AH48" s="155">
        <f t="shared" si="21"/>
      </c>
      <c r="AI48" s="137">
        <f t="shared" si="12"/>
      </c>
      <c r="AJ48" s="60">
        <f t="shared" si="22"/>
      </c>
      <c r="AK48" s="152">
        <f t="shared" si="23"/>
        <v>0</v>
      </c>
      <c r="AL48" s="152">
        <f t="shared" si="24"/>
      </c>
      <c r="AM48" s="60">
        <f t="shared" si="25"/>
      </c>
      <c r="AN48" s="60">
        <f t="shared" si="26"/>
        <v>0</v>
      </c>
      <c r="AO48" s="156">
        <f t="shared" si="27"/>
      </c>
      <c r="AP48" s="153">
        <f t="shared" si="28"/>
      </c>
      <c r="AQ48" s="152">
        <f t="shared" si="29"/>
      </c>
      <c r="AR48" s="157">
        <f t="shared" si="30"/>
      </c>
      <c r="AS48" s="60">
        <v>29</v>
      </c>
    </row>
    <row r="49" spans="1:45" ht="13.5" thickBot="1">
      <c r="A49" s="285"/>
      <c r="L49" s="132">
        <f t="shared" si="13"/>
      </c>
      <c r="M49" s="351"/>
      <c r="N49" s="331">
        <f t="shared" si="1"/>
      </c>
      <c r="O49" s="358">
        <f t="shared" si="2"/>
        <v>0</v>
      </c>
      <c r="P49" s="358">
        <f t="shared" si="3"/>
      </c>
      <c r="Q49" s="331">
        <f t="shared" si="14"/>
      </c>
      <c r="R49" s="349">
        <f t="shared" si="4"/>
        <v>0</v>
      </c>
      <c r="S49" s="359">
        <f t="shared" si="5"/>
      </c>
      <c r="T49" s="153">
        <f>IF(Q49="","",IF(L49&lt;2008,100%,LOOKUP(L49,$L$5:$L$9,$M$5:M$9)))</f>
      </c>
      <c r="U49" s="171">
        <f t="shared" si="31"/>
      </c>
      <c r="V49" s="316">
        <f t="shared" si="15"/>
      </c>
      <c r="W49" s="155">
        <f t="shared" si="16"/>
      </c>
      <c r="X49" s="137" t="str">
        <f>IF(L49=$F$10,"1:a Inkf",IF(L49=$F$11,"fastst.år",""))</f>
        <v>1:a Inkf</v>
      </c>
      <c r="Y49" s="60">
        <f t="shared" si="7"/>
      </c>
      <c r="Z49" s="152">
        <f t="shared" si="8"/>
        <v>0</v>
      </c>
      <c r="AA49" s="152">
        <f t="shared" si="9"/>
      </c>
      <c r="AB49" s="60">
        <f t="shared" si="10"/>
      </c>
      <c r="AC49" s="60">
        <f t="shared" si="11"/>
        <v>0</v>
      </c>
      <c r="AD49" s="60">
        <f t="shared" si="17"/>
      </c>
      <c r="AE49" s="153">
        <f t="shared" si="18"/>
      </c>
      <c r="AF49" s="152">
        <f t="shared" si="19"/>
      </c>
      <c r="AG49" s="60">
        <f t="shared" si="20"/>
      </c>
      <c r="AH49" s="155">
        <f t="shared" si="21"/>
      </c>
      <c r="AI49" s="137" t="str">
        <f>IF(W49=$F$10,"1:a Inkf",IF(W49=$F$11,"fastst.år",""))</f>
        <v>1:a Inkf</v>
      </c>
      <c r="AJ49" s="60">
        <f t="shared" si="22"/>
      </c>
      <c r="AK49" s="152">
        <f t="shared" si="23"/>
        <v>0</v>
      </c>
      <c r="AL49" s="152">
        <f t="shared" si="24"/>
      </c>
      <c r="AM49" s="60">
        <f t="shared" si="25"/>
      </c>
      <c r="AN49" s="60">
        <f t="shared" si="26"/>
        <v>0</v>
      </c>
      <c r="AO49" s="156">
        <f t="shared" si="27"/>
      </c>
      <c r="AP49" s="153">
        <f t="shared" si="28"/>
      </c>
      <c r="AQ49" s="152">
        <f t="shared" si="29"/>
      </c>
      <c r="AR49" s="157">
        <f t="shared" si="30"/>
      </c>
      <c r="AS49" s="60">
        <v>30</v>
      </c>
    </row>
    <row r="50" spans="1:45" ht="13.5" thickBot="1">
      <c r="A50" s="285"/>
      <c r="L50" s="172">
        <f t="shared" si="13"/>
      </c>
      <c r="M50" s="173"/>
      <c r="N50" s="173"/>
      <c r="O50" s="174">
        <f>SUM(O20:O49)</f>
        <v>0</v>
      </c>
      <c r="P50" s="371">
        <f>IF($F$16="","",IF(L50&lt;$F$10,0,IF($F$18&gt;0,$P$14,MAX(IF($D$27&gt;L50,0,($G$17-$I$16)*$D$29/30),0))))</f>
      </c>
      <c r="Q50" s="174">
        <f>IF(G$17&lt;($F$16-$H$11),$G$17,IF(L50="","",IF(AND($F$18="",$F$16=""),"",(IF(L50&lt;$H$13,"",IF($F$16&gt;0,IF(L50&lt;$F$10,0,IF($F$16&gt;$H$11,$F$16-$H$11,0)),IF($F$18&gt;0,IF(L50&lt;$F$10,0,IF($F$18&gt;$H$11,$F$18-$H$11,0)))))))))</f>
      </c>
      <c r="R50" s="174">
        <f>SUM(R20:R49)</f>
        <v>0</v>
      </c>
      <c r="S50" s="174">
        <f>SUM(S20:S49)</f>
        <v>0</v>
      </c>
      <c r="T50" s="173"/>
      <c r="U50" s="174">
        <f>SUM(U20:U49)</f>
        <v>0</v>
      </c>
      <c r="V50" s="317">
        <f>SUM(V20:V49)</f>
        <v>0</v>
      </c>
      <c r="W50" s="172"/>
      <c r="X50" s="173"/>
      <c r="Y50" s="173"/>
      <c r="Z50" s="174">
        <f>SUM(Z20:Z49)</f>
        <v>0</v>
      </c>
      <c r="AA50" s="174">
        <f>SUM(AA20:AA49)</f>
        <v>0</v>
      </c>
      <c r="AB50" s="173"/>
      <c r="AC50" s="174">
        <f>SUM(AC20:AC49)</f>
        <v>0</v>
      </c>
      <c r="AD50" s="174">
        <f>SUM(AD20:AD49)</f>
        <v>0</v>
      </c>
      <c r="AE50" s="173"/>
      <c r="AF50" s="174">
        <f>SUM(AF20:AF49)</f>
        <v>0</v>
      </c>
      <c r="AG50" s="175">
        <f>SUM(AG20:AG49)</f>
        <v>0</v>
      </c>
      <c r="AH50" s="172"/>
      <c r="AI50" s="173"/>
      <c r="AJ50" s="173"/>
      <c r="AK50" s="174">
        <f>SUM(AK20:AK49)</f>
        <v>0</v>
      </c>
      <c r="AL50" s="174">
        <f>SUM(AL20:AL49)</f>
        <v>0</v>
      </c>
      <c r="AM50" s="173"/>
      <c r="AN50" s="174">
        <f>SUM(AN20:AN49)</f>
        <v>0</v>
      </c>
      <c r="AO50" s="174">
        <f>SUM(AO20:AO49)</f>
        <v>0</v>
      </c>
      <c r="AP50" s="173"/>
      <c r="AQ50" s="174">
        <f>SUM(AQ20:AQ49)</f>
        <v>0</v>
      </c>
      <c r="AR50" s="176">
        <f>SUM(AR20:AR49)</f>
        <v>0</v>
      </c>
      <c r="AS50" s="17"/>
    </row>
    <row r="51" spans="12:45" ht="12.75">
      <c r="L51" s="17"/>
      <c r="M51" s="17"/>
      <c r="N51" s="17"/>
      <c r="O51" s="17"/>
      <c r="P51" s="17"/>
      <c r="Q51" s="123"/>
      <c r="R51" s="123"/>
      <c r="S51" s="123"/>
      <c r="T51" s="17"/>
      <c r="U51" s="17"/>
      <c r="V51" s="17"/>
      <c r="W51" s="6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71"/>
      <c r="AM51" s="71"/>
      <c r="AN51" s="17"/>
      <c r="AO51" s="17"/>
      <c r="AP51" s="152"/>
      <c r="AQ51" s="60"/>
      <c r="AR51" s="17"/>
      <c r="AS51" s="17"/>
    </row>
    <row r="52" spans="1:45" ht="12.75">
      <c r="A52" s="365"/>
      <c r="B52" s="366"/>
      <c r="C52" s="367"/>
      <c r="L52" s="291"/>
      <c r="M52" s="291"/>
      <c r="N52" s="181"/>
      <c r="O52" s="327"/>
      <c r="P52" s="327"/>
      <c r="Q52" s="181"/>
      <c r="R52" s="181"/>
      <c r="S52" s="181"/>
      <c r="T52" s="328"/>
      <c r="U52" s="181"/>
      <c r="V52" s="178"/>
      <c r="W52" s="17"/>
      <c r="X52" s="179"/>
      <c r="Y52" s="29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60"/>
      <c r="AK52" s="60"/>
      <c r="AL52" s="60"/>
      <c r="AM52" s="60"/>
      <c r="AN52" s="76"/>
      <c r="AO52" s="17"/>
      <c r="AP52" s="180"/>
      <c r="AQ52" s="17"/>
      <c r="AR52" s="179"/>
      <c r="AS52" s="29"/>
    </row>
    <row r="53" spans="1:45" ht="12.75">
      <c r="A53" s="361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3"/>
      <c r="M53" s="291"/>
      <c r="N53" s="181"/>
      <c r="O53" s="181"/>
      <c r="P53" s="181"/>
      <c r="Q53" s="291"/>
      <c r="R53" s="181"/>
      <c r="S53" s="291"/>
      <c r="T53" s="291"/>
      <c r="U53" s="181"/>
      <c r="V53" s="178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8"/>
      <c r="AQ53" s="17"/>
      <c r="AR53" s="17"/>
      <c r="AS53" s="17"/>
    </row>
    <row r="54" spans="1:45" ht="12.75">
      <c r="A54" s="361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</row>
  </sheetData>
  <sheetProtection password="C248" sheet="1" objects="1" scenarios="1"/>
  <mergeCells count="7">
    <mergeCell ref="E40:F40"/>
    <mergeCell ref="E41:F41"/>
    <mergeCell ref="E43:F43"/>
    <mergeCell ref="C2:F2"/>
    <mergeCell ref="C4:F4"/>
    <mergeCell ref="C6:F6"/>
    <mergeCell ref="E39:F39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2"/>
  <sheetViews>
    <sheetView zoomScale="115" zoomScaleNormal="115" zoomScalePageLayoutView="0" workbookViewId="0" topLeftCell="A1">
      <selection activeCell="C1" sqref="C1"/>
    </sheetView>
  </sheetViews>
  <sheetFormatPr defaultColWidth="9.140625" defaultRowHeight="12.75"/>
  <cols>
    <col min="2" max="2" width="5.00390625" style="0" customWidth="1"/>
    <col min="3" max="3" width="17.7109375" style="0" customWidth="1"/>
    <col min="4" max="4" width="9.57421875" style="0" customWidth="1"/>
    <col min="5" max="5" width="5.7109375" style="0" customWidth="1"/>
    <col min="6" max="6" width="10.28125" style="0" customWidth="1"/>
    <col min="7" max="7" width="8.57421875" style="0" customWidth="1"/>
    <col min="8" max="8" width="6.7109375" style="0" customWidth="1"/>
    <col min="9" max="10" width="7.28125" style="0" customWidth="1"/>
    <col min="11" max="11" width="4.140625" style="0" customWidth="1"/>
    <col min="21" max="21" width="10.28125" style="0" customWidth="1"/>
  </cols>
  <sheetData>
    <row r="1" spans="1:24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92" t="s">
        <v>33</v>
      </c>
      <c r="M1" s="92"/>
      <c r="N1" s="51"/>
      <c r="O1" s="44"/>
      <c r="P1" s="75">
        <v>2008</v>
      </c>
      <c r="Q1" s="88">
        <v>1</v>
      </c>
      <c r="R1" s="17"/>
      <c r="S1" s="45"/>
      <c r="T1" s="45"/>
      <c r="U1" s="45"/>
      <c r="V1" s="45"/>
      <c r="W1" s="45"/>
      <c r="X1" s="17"/>
    </row>
    <row r="2" spans="1:24" ht="12.75">
      <c r="A2" s="45" t="s">
        <v>28</v>
      </c>
      <c r="B2" s="17"/>
      <c r="C2" s="17"/>
      <c r="D2" s="395"/>
      <c r="E2" s="396"/>
      <c r="F2" s="397"/>
      <c r="G2" s="17"/>
      <c r="H2" s="17"/>
      <c r="I2" s="17"/>
      <c r="J2" s="17"/>
      <c r="K2" s="17"/>
      <c r="L2" s="44" t="s">
        <v>34</v>
      </c>
      <c r="M2" s="44"/>
      <c r="N2" s="91">
        <f>SUM(F14)</f>
        <v>0</v>
      </c>
      <c r="O2" s="44"/>
      <c r="P2" s="77">
        <v>2009</v>
      </c>
      <c r="Q2" s="89">
        <v>1</v>
      </c>
      <c r="R2" s="17"/>
      <c r="S2" s="333"/>
      <c r="T2" s="333"/>
      <c r="U2" s="340"/>
      <c r="V2" s="345"/>
      <c r="W2" s="17"/>
      <c r="X2" s="17"/>
    </row>
    <row r="3" spans="1:2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44" t="s">
        <v>36</v>
      </c>
      <c r="M3" s="44"/>
      <c r="N3" s="91">
        <f>IF(N2=0,0,N2+65)</f>
        <v>0</v>
      </c>
      <c r="O3" s="44"/>
      <c r="P3" s="77">
        <v>2010</v>
      </c>
      <c r="Q3" s="89">
        <v>1</v>
      </c>
      <c r="R3" s="17"/>
      <c r="S3" s="333"/>
      <c r="T3" s="333"/>
      <c r="U3" s="333"/>
      <c r="V3" s="345"/>
      <c r="W3" s="17"/>
      <c r="X3" s="17"/>
    </row>
    <row r="4" spans="1:24" ht="12.75">
      <c r="A4" s="45" t="s">
        <v>29</v>
      </c>
      <c r="B4" s="17"/>
      <c r="C4" s="17"/>
      <c r="D4" s="398"/>
      <c r="E4" s="399"/>
      <c r="F4" s="400"/>
      <c r="G4" s="17"/>
      <c r="H4" s="17"/>
      <c r="I4" s="17"/>
      <c r="J4" s="17"/>
      <c r="K4" s="17"/>
      <c r="L4" s="44" t="s">
        <v>39</v>
      </c>
      <c r="M4" s="44"/>
      <c r="N4" s="91">
        <f>SUM(F13)</f>
        <v>0</v>
      </c>
      <c r="O4" s="44"/>
      <c r="P4" s="77">
        <v>2011</v>
      </c>
      <c r="Q4" s="89">
        <v>1</v>
      </c>
      <c r="R4" s="17"/>
      <c r="S4" s="333"/>
      <c r="T4" s="333"/>
      <c r="U4" s="341"/>
      <c r="V4" s="345"/>
      <c r="W4" s="17"/>
      <c r="X4" s="17"/>
    </row>
    <row r="5" spans="1:24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44" t="s">
        <v>41</v>
      </c>
      <c r="M5" s="44"/>
      <c r="N5" s="91">
        <f>SUM(F15)</f>
        <v>30</v>
      </c>
      <c r="O5" s="44"/>
      <c r="P5" s="78">
        <v>2012</v>
      </c>
      <c r="Q5" s="90">
        <v>1</v>
      </c>
      <c r="R5" s="17"/>
      <c r="S5" s="333"/>
      <c r="T5" s="333"/>
      <c r="U5" s="346"/>
      <c r="V5" s="345"/>
      <c r="W5" s="17"/>
      <c r="X5" s="17"/>
    </row>
    <row r="6" spans="1:24" ht="12.75">
      <c r="A6" s="45" t="s">
        <v>30</v>
      </c>
      <c r="B6" s="17"/>
      <c r="C6" s="17"/>
      <c r="D6" s="398"/>
      <c r="E6" s="399"/>
      <c r="F6" s="400"/>
      <c r="G6" s="17"/>
      <c r="H6" s="17"/>
      <c r="I6" s="17"/>
      <c r="J6" s="17"/>
      <c r="K6" s="17"/>
      <c r="L6" s="93" t="s">
        <v>44</v>
      </c>
      <c r="M6" s="93"/>
      <c r="N6" s="94">
        <f>IF(N4+N5&gt;=N3,N3,N4+N5-1)</f>
        <v>0</v>
      </c>
      <c r="O6" s="44"/>
      <c r="P6" s="44"/>
      <c r="Q6" s="17"/>
      <c r="R6" s="17"/>
      <c r="S6" s="333"/>
      <c r="T6" s="331"/>
      <c r="U6" s="333"/>
      <c r="V6" s="347"/>
      <c r="W6" s="17"/>
      <c r="X6" s="17"/>
    </row>
    <row r="7" spans="1:2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93" t="s">
        <v>46</v>
      </c>
      <c r="M7" s="93"/>
      <c r="N7" s="94">
        <f>IF(N6-N4&gt;=N5,N4,N6-N5+1)</f>
        <v>-29</v>
      </c>
      <c r="O7" s="49">
        <f>SUM(N6-N7+1)</f>
        <v>30</v>
      </c>
      <c r="P7" s="44"/>
      <c r="Q7" s="17"/>
      <c r="R7" s="17"/>
      <c r="S7" s="333"/>
      <c r="T7" s="348"/>
      <c r="U7" s="349"/>
      <c r="V7" s="347"/>
      <c r="W7" s="17"/>
      <c r="X7" s="17"/>
    </row>
    <row r="8" spans="1:40" ht="12.75">
      <c r="A8" s="81" t="s">
        <v>77</v>
      </c>
      <c r="B8" s="81"/>
      <c r="C8" s="17"/>
      <c r="D8" s="81"/>
      <c r="E8" s="81"/>
      <c r="F8" s="17"/>
      <c r="G8" s="17"/>
      <c r="H8" s="17"/>
      <c r="I8" s="17"/>
      <c r="J8" s="17"/>
      <c r="K8" s="17"/>
      <c r="L8" s="17"/>
      <c r="M8" s="17"/>
      <c r="N8" s="26"/>
      <c r="O8" s="44"/>
      <c r="P8" s="44"/>
      <c r="Q8" s="44"/>
      <c r="R8" s="44"/>
      <c r="S8" s="333"/>
      <c r="T8" s="333"/>
      <c r="U8" s="332"/>
      <c r="V8" s="345"/>
      <c r="W8" s="17"/>
      <c r="X8" s="17"/>
      <c r="Z8" s="105"/>
      <c r="AF8" s="104"/>
      <c r="AG8" s="106"/>
      <c r="AH8" s="107"/>
      <c r="AI8" s="108"/>
      <c r="AJ8" s="109"/>
      <c r="AK8" s="110"/>
      <c r="AL8" s="110"/>
      <c r="AM8" s="110"/>
      <c r="AN8" s="110"/>
    </row>
    <row r="9" spans="1:42" ht="13.5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44"/>
      <c r="P9" s="44"/>
      <c r="Q9" s="44"/>
      <c r="R9" s="44"/>
      <c r="S9" s="333"/>
      <c r="T9" s="333"/>
      <c r="U9" s="350"/>
      <c r="V9" s="345"/>
      <c r="W9" s="17"/>
      <c r="X9" s="17"/>
      <c r="AH9" s="107"/>
      <c r="AI9" s="110"/>
      <c r="AJ9" s="111"/>
      <c r="AK9" s="110"/>
      <c r="AL9" s="110"/>
      <c r="AM9" s="110"/>
      <c r="AN9" s="110"/>
      <c r="AP9" s="112"/>
    </row>
    <row r="10" spans="1:4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24" t="s">
        <v>47</v>
      </c>
      <c r="M10" s="125"/>
      <c r="N10" s="126"/>
      <c r="O10" s="126" t="s">
        <v>50</v>
      </c>
      <c r="P10" s="127">
        <f>IF(D30="",4.5%,D30)</f>
        <v>0.045</v>
      </c>
      <c r="Q10" s="126"/>
      <c r="R10" s="126"/>
      <c r="S10" s="127">
        <f>IF(D30="",4.5%,D30)</f>
        <v>0.045</v>
      </c>
      <c r="T10" s="126"/>
      <c r="U10" s="126"/>
      <c r="V10" s="131" t="s">
        <v>51</v>
      </c>
      <c r="W10" s="124" t="s">
        <v>52</v>
      </c>
      <c r="X10" s="125"/>
      <c r="Y10" s="126"/>
      <c r="Z10" s="126"/>
      <c r="AA10" s="129">
        <f>IF(D24="",4.5%,D24)</f>
        <v>0.045</v>
      </c>
      <c r="AB10" s="126"/>
      <c r="AC10" s="126"/>
      <c r="AD10" s="129">
        <f>IF(D24="",4.5%,D24)</f>
        <v>0.045</v>
      </c>
      <c r="AE10" s="126"/>
      <c r="AF10" s="126"/>
      <c r="AG10" s="128" t="s">
        <v>53</v>
      </c>
      <c r="AH10" s="124" t="s">
        <v>54</v>
      </c>
      <c r="AI10" s="125"/>
      <c r="AJ10" s="126"/>
      <c r="AK10" s="126"/>
      <c r="AL10" s="129">
        <f>IF(D36="",4.5%,D36)</f>
        <v>0.045</v>
      </c>
      <c r="AM10" s="126"/>
      <c r="AN10" s="126"/>
      <c r="AO10" s="130">
        <f>IF(D36="",4.5%,D36)</f>
        <v>0.045</v>
      </c>
      <c r="AP10" s="126"/>
      <c r="AQ10" s="126"/>
      <c r="AR10" s="131" t="s">
        <v>55</v>
      </c>
      <c r="AS10" s="17"/>
    </row>
    <row r="11" spans="1:4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32"/>
      <c r="M11" s="351"/>
      <c r="N11" s="333"/>
      <c r="O11" s="333" t="s">
        <v>56</v>
      </c>
      <c r="P11" s="352">
        <f>SUM(D31)</f>
        <v>0.13</v>
      </c>
      <c r="Q11" s="333"/>
      <c r="R11" s="333"/>
      <c r="S11" s="352">
        <f>SUM(D32)</f>
        <v>0.68</v>
      </c>
      <c r="T11" s="333"/>
      <c r="U11" s="333"/>
      <c r="V11" s="141" t="s">
        <v>57</v>
      </c>
      <c r="W11" s="136"/>
      <c r="X11" s="137"/>
      <c r="Y11" s="17"/>
      <c r="Z11" s="17"/>
      <c r="AA11" s="138">
        <f>SUM(D25)</f>
        <v>0.13</v>
      </c>
      <c r="AB11" s="17"/>
      <c r="AC11" s="51"/>
      <c r="AD11" s="139">
        <f>SUM(D26)</f>
        <v>0.68</v>
      </c>
      <c r="AE11" s="17"/>
      <c r="AF11" s="17"/>
      <c r="AG11" s="135" t="s">
        <v>57</v>
      </c>
      <c r="AH11" s="136"/>
      <c r="AI11" s="137"/>
      <c r="AJ11" s="17"/>
      <c r="AK11" s="17"/>
      <c r="AL11" s="134">
        <f>SUM(D37)</f>
        <v>0.13</v>
      </c>
      <c r="AM11" s="17"/>
      <c r="AN11" s="51"/>
      <c r="AO11" s="140">
        <f>SUM(D38)</f>
        <v>0.68</v>
      </c>
      <c r="AP11" s="17"/>
      <c r="AQ11" s="17"/>
      <c r="AR11" s="141" t="s">
        <v>57</v>
      </c>
      <c r="AS11" s="17"/>
    </row>
    <row r="12" spans="1:45" ht="12.75">
      <c r="A12" s="17" t="s">
        <v>35</v>
      </c>
      <c r="B12" s="17"/>
      <c r="C12" s="17"/>
      <c r="D12" s="17"/>
      <c r="E12" s="17"/>
      <c r="F12" s="73"/>
      <c r="G12" s="59"/>
      <c r="H12" s="17"/>
      <c r="I12" s="17"/>
      <c r="J12" s="17"/>
      <c r="K12" s="17"/>
      <c r="L12" s="143" t="s">
        <v>59</v>
      </c>
      <c r="M12" s="353"/>
      <c r="N12" s="354" t="s">
        <v>60</v>
      </c>
      <c r="O12" s="355">
        <f>SUM(F19)</f>
        <v>0</v>
      </c>
      <c r="P12" s="356">
        <f>SUM(D31)</f>
        <v>0.13</v>
      </c>
      <c r="Q12" s="354" t="s">
        <v>61</v>
      </c>
      <c r="R12" s="355" t="s">
        <v>62</v>
      </c>
      <c r="S12" s="356">
        <f>SUM(D32)</f>
        <v>0.68</v>
      </c>
      <c r="T12" s="357" t="s">
        <v>63</v>
      </c>
      <c r="U12" s="354" t="s">
        <v>64</v>
      </c>
      <c r="V12" s="151" t="s">
        <v>65</v>
      </c>
      <c r="W12" s="147" t="s">
        <v>59</v>
      </c>
      <c r="X12" s="133"/>
      <c r="Y12" s="148" t="s">
        <v>66</v>
      </c>
      <c r="Z12" s="149" t="s">
        <v>50</v>
      </c>
      <c r="AA12" s="150">
        <f>SUM(D25)</f>
        <v>0.13</v>
      </c>
      <c r="AB12" s="96" t="s">
        <v>67</v>
      </c>
      <c r="AC12" s="144" t="s">
        <v>68</v>
      </c>
      <c r="AD12" s="145">
        <f>SUM(D26)</f>
        <v>0.68</v>
      </c>
      <c r="AE12" s="96" t="s">
        <v>63</v>
      </c>
      <c r="AF12" s="96" t="s">
        <v>64</v>
      </c>
      <c r="AG12" s="146" t="s">
        <v>65</v>
      </c>
      <c r="AH12" s="147" t="s">
        <v>59</v>
      </c>
      <c r="AI12" s="133"/>
      <c r="AJ12" s="148" t="s">
        <v>66</v>
      </c>
      <c r="AK12" s="149" t="s">
        <v>50</v>
      </c>
      <c r="AL12" s="150">
        <f>SUM(D37)</f>
        <v>0.13</v>
      </c>
      <c r="AM12" s="96" t="s">
        <v>67</v>
      </c>
      <c r="AN12" s="144" t="s">
        <v>68</v>
      </c>
      <c r="AO12" s="145">
        <f>SUM(D38)</f>
        <v>0.68</v>
      </c>
      <c r="AP12" s="96" t="s">
        <v>63</v>
      </c>
      <c r="AQ12" s="96" t="s">
        <v>64</v>
      </c>
      <c r="AR12" s="151" t="s">
        <v>65</v>
      </c>
      <c r="AS12" s="148"/>
    </row>
    <row r="13" spans="1:45" ht="12.75">
      <c r="A13" s="17" t="s">
        <v>37</v>
      </c>
      <c r="B13" s="17"/>
      <c r="C13" s="17"/>
      <c r="D13" s="17"/>
      <c r="E13" s="17"/>
      <c r="F13" s="73"/>
      <c r="G13" s="82" t="s">
        <v>38</v>
      </c>
      <c r="H13" s="199">
        <f>IF(F13=0,0,LOOKUP(F13,Basbelopp!A4:A66,Basbelopp!B4:B66)*7.5)</f>
        <v>0</v>
      </c>
      <c r="I13" s="57"/>
      <c r="J13" s="17"/>
      <c r="K13" s="17"/>
      <c r="L13" s="132">
        <f>IF(F14=0,"",SUM(N3-N5+1))</f>
      </c>
      <c r="M13" s="351">
        <f aca="true" t="shared" si="0" ref="M13:M41">IF(L13="","",IF(L13=$F$12,"1:a Inkf",IF(L13=$F$13,"fastst.år","")))</f>
      </c>
      <c r="N13" s="331">
        <f aca="true" t="shared" si="1" ref="N13:N42">IF(L13="","",IF(AND($M$45="",$F$18=""),"",IF(L13&lt;$H$15,"",IF($F$18&gt;0,IF(L13&lt;$F$12,$F$16,IF($F$18&gt;$H$13,$H$13,$F$18)),IF($M$45&gt;0,IF(L13&lt;$F$12,$M$45,IF($M$45&gt;$H$13,$H$13,$M$45)))))))</f>
      </c>
      <c r="O13" s="358">
        <f>MAX(IF(L13&lt;$D$29,IF(N13="","",IF(L13&lt;$F$12,N13*0.13/30,IF($O$12="",$F$18*0.13/30,IF($M$45&gt;0,MAX(($M$45-$I$18)*0.13/30,0),((F$18*$F$19)-$I$18)*0.13/30)))),0),0)</f>
        <v>0</v>
      </c>
      <c r="P13" s="358">
        <f>IF(L13&lt;$F$12,0,MAX(IF($D$29&gt;L13,0,($G$19-$I$18)*$D$31/30),0))</f>
        <v>0</v>
      </c>
      <c r="Q13" s="331">
        <f>IF($G$19&lt;($F$18-$H$13),$G$19,IF(L13="","",IF(AND($M$45="",$F$18=""),"",(IF(L13&lt;$H$15,"",IF($F$18&gt;0,IF(L13&lt;$F$12,0,IF($F$18&gt;$H$13,$F$18-$H$13,0)),IF($M$45&gt;0,IF(L13&lt;$F$12,0,IF($M$45&gt;$H$13,$M$45-$H$13,0)))))))))</f>
      </c>
      <c r="R13" s="349">
        <f>IF(L13&lt;$D$29,IF(Q13="","",IF(L13&lt;$F$12,0,IF($M$45&gt;$I$18,$I$18*0.68/30,IF($M$45&gt;0,IF($F$18&gt;$H$13,$M$45*0.68/30,Q13*0.68/30),Q13*0.68/30)))),0)</f>
        <v>0</v>
      </c>
      <c r="S13" s="349">
        <f>IF(L13&gt;=$D$29,IF(Q13="","",IF(L13&lt;$F$12,0,IF($M$45&gt;$I$18,$I$18*$S$11/30,IF($M$45&gt;0,IF($F$18&gt;$H$13,$M$45*$S$11/30,Q13*$S$11/30),Q13*$S$11/30)))),0)</f>
      </c>
      <c r="T13" s="153">
        <f>IF(Q13="","",IF(L13&lt;2008,100%,LOOKUP(L13,$P$1:$P$5,$Q$1:Q$5)))</f>
      </c>
      <c r="U13" s="154">
        <f>IF(Q13="","",IF(T13=13%,Q13*T13/30,(R13+S13)*T13))</f>
      </c>
      <c r="V13" s="316">
        <f aca="true" t="shared" si="2" ref="V13:V42">IF(L13&lt;$F$12,0,IF(N13="","",SUM(O13+P13+U13)))</f>
      </c>
      <c r="W13" s="155">
        <f>IF(L13="","",L13)</f>
      </c>
      <c r="X13" s="137">
        <f aca="true" t="shared" si="3" ref="X13:X41">IF(W13="","",IF(L13=$F$12,"1:a Inkf",IF(L13=$F$13,"fastst.år","")))</f>
      </c>
      <c r="Y13" s="60">
        <f aca="true" t="shared" si="4" ref="Y13:Y42">IF(W13="","",IF(W13&lt;$H$15,"",IF(W13&lt;$F$12,$F$16,IF($F$16&gt;$H$13,$H$13,$F$16))))</f>
      </c>
      <c r="Z13" s="152">
        <f aca="true" t="shared" si="5" ref="Z13:Z42">IF(L13&lt;$D$23,IF(W13="","",IF(Y13=0,0,IF(W13&lt;$F$12,Y13*0.13/30,IF($F$16&gt;0,(($F$16-$I$16)*0.13/30),(($M$45-$I$18)*0.13/30))))),0)</f>
        <v>0</v>
      </c>
      <c r="AA13" s="152">
        <f aca="true" t="shared" si="6" ref="AA13:AA42">IF(L13&gt;=$D$23,IF(W13="","",IF(Y13=0,0,IF(W13&lt;$F$12,Y13*$D$25/30,IF($F$16&gt;0,(($F$16-$I$16)*$D$25/30),(($M$45-$I$18)*$D$25/30))))),0)</f>
      </c>
      <c r="AB13" s="60">
        <f aca="true" t="shared" si="7" ref="AB13:AB42">IF(W13="","",IF(Y13=0,0,IF(W13&lt;$F$12,0,IF($F$16&gt;0,IF($F$16&gt;$H$13,$F$16-$H$13,0),IF($M$45&gt;$H$13,$M$45-$H$13,0)))))</f>
      </c>
      <c r="AC13" s="60">
        <f aca="true" t="shared" si="8" ref="AC13:AC42">IF(L13&lt;$D$23,IF(W13="","",IF(Y13=0,0,IF(W13&lt;$F$12,0,IF($I$16&gt;0,$I$16*0.68/30,$I$16*0.68/30)))),0)</f>
        <v>0</v>
      </c>
      <c r="AD13" s="60">
        <f aca="true" t="shared" si="9" ref="AD13:AD42">IF(L13&gt;=$D$23,IF(W13="","",IF(Y13=0,0,IF(W13&lt;$F$12,0,IF($I$16&gt;0,$I$16*$D$26/30,$I$16*$D$26/30)))),0)</f>
      </c>
      <c r="AE13" s="153">
        <f>IF(Y13="","",IF(W13&lt;2008,100%,LOOKUP(W13,$P$1:$P$5,$Q$1:$Q$5)))</f>
      </c>
      <c r="AF13" s="152">
        <f>IF(Y13="","",IF(AE13=13%,AB13*AE13/30,(AC13+AD13)*AE13))</f>
      </c>
      <c r="AG13" s="60">
        <f aca="true" t="shared" si="10" ref="AG13:AG42">IF(W13&lt;$F$12,0,IF(Y13="","",SUM(Z13+AA13+AF13)))</f>
      </c>
      <c r="AH13" s="155">
        <f>IF(W13="","",W13)</f>
      </c>
      <c r="AI13" s="137">
        <f aca="true" t="shared" si="11" ref="AI13:AI41">IF(AH13="","",IF(W13=$F$12,"1:a Inkf",IF(W13=$F$13,"fastst.år","")))</f>
      </c>
      <c r="AJ13" s="60">
        <f aca="true" t="shared" si="12" ref="AJ13:AJ42">IF(AH13&lt;$F$12,0,IF(AH13="","",IF(AH13&lt;$H$15,"",IF(AH13&lt;$F$12,$F$16,IF($F$21&gt;$H$13,$H$13,$F$21)))))</f>
      </c>
      <c r="AK13" s="152">
        <f aca="true" t="shared" si="13" ref="AK13:AK42">IF(AH13&lt;$F$12,0,IF(AH13&lt;$D$35,IF(AH13="","",IF(AJ13=0,0,IF(AH13&lt;$F$12,AJ13*0.13/30,IF($F$21&gt;0,(($F$21-$I$21)*0.13/30),(($M$45-$I$21)*0.13/30))))),0))</f>
        <v>0</v>
      </c>
      <c r="AL13" s="152">
        <f aca="true" t="shared" si="14" ref="AL13:AL42">IF(AH13&lt;$F$12,0,IF(AH13&gt;=$D$35,IF(AH13="","",IF(AJ13=0,0,IF(AH13&lt;$F$12,AJ13*$D$37/30,IF($F$21&gt;0,(($F$21-$I$21)*$D$37/30),(($M$45-$I$21)*$D$37/30))))),0))</f>
      </c>
      <c r="AM13" s="60">
        <f aca="true" t="shared" si="15" ref="AM13:AM42">IF(AH13&lt;$F$12,0,IF(AH13="","",IF(AJ13=0,0,IF(AH13&lt;$F$12,0,IF($F$21&gt;0,IF($F$21&gt;$H$13,$F$21-$H$13,0),IF($M$45&gt;$H$13,$M$45-$H$13,0))))))</f>
      </c>
      <c r="AN13" s="60">
        <f aca="true" t="shared" si="16" ref="AN13:AN42">IF(AH13&lt;$F$12,0,IF(AH13&lt;$D$35,IF(AH13="","",IF(AJ13=0,0,IF(AH13&lt;$F$12,0,IF($I$21&gt;0,$I$21*0.68/30,$I$21*0.68/30)))),0))</f>
        <v>0</v>
      </c>
      <c r="AO13" s="156">
        <f aca="true" t="shared" si="17" ref="AO13:AO42">IF(AH13&gt;=$D$35,IF(AH13="","",IF(AJ13=0,0,IF(AH13&lt;$F$12,0,IF($I$21&gt;0,$I$21*$D$38/30,$I$21*$D$38/30)))),0)</f>
      </c>
      <c r="AP13" s="153">
        <f>IF(AH13&lt;$F$12,0,IF(AJ13="","",IF(AH13&lt;2008,100%,LOOKUP(AH13,$P$1:$P$5,$Q$1:$Q$5))))</f>
      </c>
      <c r="AQ13" s="152">
        <f aca="true" t="shared" si="18" ref="AQ13:AQ42">IF(AH13&lt;$F$12,0,IF(AJ13="","",IF(AP13=13%,AM13*AP13/30,(AN13+AO13)*AP13)))</f>
      </c>
      <c r="AR13" s="157">
        <f aca="true" t="shared" si="19" ref="AR13:AR42">IF(AH13&lt;$F$12,0,IF(AJ13="","",SUM(AK13+AL13+AQ13)))</f>
      </c>
      <c r="AS13" s="60"/>
    </row>
    <row r="14" spans="1:45" ht="12.75">
      <c r="A14" s="17" t="s">
        <v>40</v>
      </c>
      <c r="B14" s="17"/>
      <c r="C14" s="17"/>
      <c r="D14" s="17"/>
      <c r="E14" s="17"/>
      <c r="F14" s="73"/>
      <c r="G14" s="83" t="s">
        <v>36</v>
      </c>
      <c r="H14" s="84">
        <f>SUM(F14+65)</f>
        <v>65</v>
      </c>
      <c r="I14" s="114"/>
      <c r="J14" s="17"/>
      <c r="K14" s="17"/>
      <c r="L14" s="132">
        <f aca="true" t="shared" si="20" ref="L14:L42">IF(L13&lt;$N$3,L13+1,"")</f>
      </c>
      <c r="M14" s="351">
        <f t="shared" si="0"/>
      </c>
      <c r="N14" s="331">
        <f t="shared" si="1"/>
      </c>
      <c r="O14" s="358">
        <f aca="true" t="shared" si="21" ref="O14:O42">MAX(IF(L14&lt;$D$29,IF(N14="","",IF(L14&lt;$F$12,N14*0.13/30,IF($O$12="",$F$18*0.13/30,IF($M$45&gt;0,MAX(($M$45-$I$18)*0.13/30,0),((F$18*$F$19)-$I$18)*0.13/30)))),0),0)</f>
        <v>0</v>
      </c>
      <c r="P14" s="358">
        <f aca="true" t="shared" si="22" ref="P14:P42">IF(L14&lt;$F$12,0,MAX(IF($D$29&gt;L14,0,($G$19-$I$18)*$D$31/30),0))</f>
        <v>0</v>
      </c>
      <c r="Q14" s="331">
        <f aca="true" t="shared" si="23" ref="Q14:Q42">IF($G$19&lt;($F$18-$H$13),$G$19,IF(L14="","",IF(AND($M$45="",$F$18=""),"",(IF(L14&lt;$H$15,"",IF($F$18&gt;0,IF(L14&lt;$F$12,0,IF($F$18&gt;$H$13,$F$18-$H$13,0)),IF($M$45&gt;0,IF(L14&lt;$F$12,0,IF($M$45&gt;$H$13,$M$45-$H$13,0)))))))))</f>
      </c>
      <c r="R14" s="349">
        <f aca="true" t="shared" si="24" ref="R14:R42">IF(L14&lt;$D$29,IF(Q14="","",IF(L14&lt;$F$12,0,IF($M$45&gt;$I$18,$I$18*0.68/30,IF($M$45&gt;0,IF($F$18&gt;$H$13,$M$45*0.68/30,Q14*0.68/30),Q14*0.68/30)))),0)</f>
        <v>0</v>
      </c>
      <c r="S14" s="349">
        <f aca="true" t="shared" si="25" ref="S14:S42">IF(L14&gt;=$D$29,IF(Q14="","",IF(L14&lt;$F$12,0,IF($M$45&gt;$I$18,$I$18*$S$11/30,IF($M$45&gt;0,IF($F$18&gt;$H$13,$M$45*$S$11/30,Q14*$S$11/30),Q14*$S$11/30)))),0)</f>
      </c>
      <c r="T14" s="153">
        <f>IF(Q14="","",IF(L14&lt;2008,100%,LOOKUP(L14,$P$1:$P$5,$Q$1:Q$5)))</f>
      </c>
      <c r="U14" s="154">
        <f>IF(Q14="","",IF(T14=13%,Q14*T14/30,(R14+S14)*T14))</f>
      </c>
      <c r="V14" s="316">
        <f t="shared" si="2"/>
      </c>
      <c r="W14" s="155">
        <f aca="true" t="shared" si="26" ref="W14:W42">IF(L14="","",L14)</f>
      </c>
      <c r="X14" s="137">
        <f t="shared" si="3"/>
      </c>
      <c r="Y14" s="60">
        <f t="shared" si="4"/>
      </c>
      <c r="Z14" s="152">
        <f t="shared" si="5"/>
        <v>0</v>
      </c>
      <c r="AA14" s="152">
        <f t="shared" si="6"/>
      </c>
      <c r="AB14" s="60">
        <f t="shared" si="7"/>
      </c>
      <c r="AC14" s="60">
        <f t="shared" si="8"/>
        <v>0</v>
      </c>
      <c r="AD14" s="60">
        <f t="shared" si="9"/>
      </c>
      <c r="AE14" s="153">
        <f aca="true" t="shared" si="27" ref="AE14:AE42">IF(Y14="","",IF(W14&lt;2008,100%,LOOKUP(W14,$P$1:$P$5,$Q$1:$Q$5)))</f>
      </c>
      <c r="AF14" s="152">
        <f aca="true" t="shared" si="28" ref="AF14:AF42">IF(Y14="","",IF(AE14=13%,AB14*AE14/30,(AC14+AD14)*AE14))</f>
      </c>
      <c r="AG14" s="60">
        <f t="shared" si="10"/>
      </c>
      <c r="AH14" s="155">
        <f aca="true" t="shared" si="29" ref="AH14:AH42">IF(W14="","",W14)</f>
      </c>
      <c r="AI14" s="137">
        <f t="shared" si="11"/>
      </c>
      <c r="AJ14" s="60">
        <f t="shared" si="12"/>
      </c>
      <c r="AK14" s="152">
        <f t="shared" si="13"/>
        <v>0</v>
      </c>
      <c r="AL14" s="152">
        <f t="shared" si="14"/>
      </c>
      <c r="AM14" s="60">
        <f t="shared" si="15"/>
      </c>
      <c r="AN14" s="60">
        <f t="shared" si="16"/>
        <v>0</v>
      </c>
      <c r="AO14" s="156">
        <f t="shared" si="17"/>
      </c>
      <c r="AP14" s="153">
        <f aca="true" t="shared" si="30" ref="AP14:AP42">IF(AH14&lt;$F$12,0,IF(AJ14="","",IF(AH14&lt;2008,100%,LOOKUP(AH14,$P$1:$P$5,$Q$1:$Q$5))))</f>
      </c>
      <c r="AQ14" s="152">
        <f t="shared" si="18"/>
      </c>
      <c r="AR14" s="157">
        <f t="shared" si="19"/>
      </c>
      <c r="AS14" s="60"/>
    </row>
    <row r="15" spans="1:45" ht="12.75">
      <c r="A15" s="17" t="s">
        <v>42</v>
      </c>
      <c r="B15" s="17"/>
      <c r="C15" s="17"/>
      <c r="D15" s="17"/>
      <c r="E15" s="17"/>
      <c r="F15" s="67">
        <v>30</v>
      </c>
      <c r="G15" s="85" t="s">
        <v>43</v>
      </c>
      <c r="H15" s="86">
        <f>IF(F15="","",N7)</f>
        <v>-29</v>
      </c>
      <c r="I15" s="86"/>
      <c r="J15" s="87">
        <f>IF(F15="","",N6)</f>
        <v>0</v>
      </c>
      <c r="K15" s="17"/>
      <c r="L15" s="132">
        <f t="shared" si="20"/>
      </c>
      <c r="M15" s="351">
        <f t="shared" si="0"/>
      </c>
      <c r="N15" s="331">
        <f t="shared" si="1"/>
      </c>
      <c r="O15" s="358">
        <f t="shared" si="21"/>
        <v>0</v>
      </c>
      <c r="P15" s="358">
        <f t="shared" si="22"/>
        <v>0</v>
      </c>
      <c r="Q15" s="331">
        <f t="shared" si="23"/>
      </c>
      <c r="R15" s="349">
        <f t="shared" si="24"/>
        <v>0</v>
      </c>
      <c r="S15" s="349">
        <f t="shared" si="25"/>
      </c>
      <c r="T15" s="153">
        <f>IF(Q15="","",IF(L15&lt;2008,100%,LOOKUP(L15,$P$1:$P$5,$Q$1:Q$5)))</f>
      </c>
      <c r="U15" s="154">
        <f>IF(Q15="","",IF(T15=13%,Q15*T15/30,(R15+S15)*T15))</f>
      </c>
      <c r="V15" s="316">
        <f t="shared" si="2"/>
      </c>
      <c r="W15" s="155">
        <f t="shared" si="26"/>
      </c>
      <c r="X15" s="137">
        <f t="shared" si="3"/>
      </c>
      <c r="Y15" s="60">
        <f t="shared" si="4"/>
      </c>
      <c r="Z15" s="152">
        <f t="shared" si="5"/>
        <v>0</v>
      </c>
      <c r="AA15" s="152">
        <f t="shared" si="6"/>
      </c>
      <c r="AB15" s="60">
        <f t="shared" si="7"/>
      </c>
      <c r="AC15" s="60">
        <f t="shared" si="8"/>
        <v>0</v>
      </c>
      <c r="AD15" s="60">
        <f t="shared" si="9"/>
      </c>
      <c r="AE15" s="153">
        <f t="shared" si="27"/>
      </c>
      <c r="AF15" s="152">
        <f t="shared" si="28"/>
      </c>
      <c r="AG15" s="60">
        <f t="shared" si="10"/>
      </c>
      <c r="AH15" s="155">
        <f t="shared" si="29"/>
      </c>
      <c r="AI15" s="137">
        <f t="shared" si="11"/>
      </c>
      <c r="AJ15" s="60">
        <f t="shared" si="12"/>
      </c>
      <c r="AK15" s="152">
        <f t="shared" si="13"/>
        <v>0</v>
      </c>
      <c r="AL15" s="152">
        <f t="shared" si="14"/>
      </c>
      <c r="AM15" s="60">
        <f t="shared" si="15"/>
      </c>
      <c r="AN15" s="60">
        <f t="shared" si="16"/>
        <v>0</v>
      </c>
      <c r="AO15" s="156">
        <f t="shared" si="17"/>
      </c>
      <c r="AP15" s="153">
        <f t="shared" si="30"/>
      </c>
      <c r="AQ15" s="152">
        <f t="shared" si="18"/>
      </c>
      <c r="AR15" s="157">
        <f t="shared" si="19"/>
      </c>
      <c r="AS15" s="60"/>
    </row>
    <row r="16" spans="1:45" ht="12.75">
      <c r="A16" s="45" t="s">
        <v>75</v>
      </c>
      <c r="B16" s="17"/>
      <c r="C16" s="17"/>
      <c r="D16" s="17"/>
      <c r="E16" s="17"/>
      <c r="F16" s="119"/>
      <c r="G16" s="62"/>
      <c r="H16" s="49">
        <f>SUM(H13)</f>
        <v>0</v>
      </c>
      <c r="I16" s="44">
        <f>MAX(F16-H16,0)</f>
        <v>0</v>
      </c>
      <c r="J16" s="44"/>
      <c r="K16" s="17"/>
      <c r="L16" s="132">
        <f t="shared" si="20"/>
      </c>
      <c r="M16" s="351">
        <f t="shared" si="0"/>
      </c>
      <c r="N16" s="331">
        <f t="shared" si="1"/>
      </c>
      <c r="O16" s="358">
        <f t="shared" si="21"/>
        <v>0</v>
      </c>
      <c r="P16" s="358">
        <f t="shared" si="22"/>
        <v>0</v>
      </c>
      <c r="Q16" s="331">
        <f t="shared" si="23"/>
      </c>
      <c r="R16" s="349">
        <f t="shared" si="24"/>
        <v>0</v>
      </c>
      <c r="S16" s="349">
        <f t="shared" si="25"/>
      </c>
      <c r="T16" s="153">
        <f>IF(Q16="","",IF(L16&lt;2008,100%,LOOKUP(L16,$P$1:$P$5,$Q$1:Q$5)))</f>
      </c>
      <c r="U16" s="154">
        <f>IF(Q16="","",IF(T16=13%,Q16*T16/30,(R16+S16)*T16))</f>
      </c>
      <c r="V16" s="316">
        <f t="shared" si="2"/>
      </c>
      <c r="W16" s="155">
        <f t="shared" si="26"/>
      </c>
      <c r="X16" s="137">
        <f t="shared" si="3"/>
      </c>
      <c r="Y16" s="60">
        <f t="shared" si="4"/>
      </c>
      <c r="Z16" s="152">
        <f t="shared" si="5"/>
        <v>0</v>
      </c>
      <c r="AA16" s="152">
        <f t="shared" si="6"/>
      </c>
      <c r="AB16" s="60">
        <f t="shared" si="7"/>
      </c>
      <c r="AC16" s="60">
        <f t="shared" si="8"/>
        <v>0</v>
      </c>
      <c r="AD16" s="60">
        <f t="shared" si="9"/>
      </c>
      <c r="AE16" s="153">
        <f t="shared" si="27"/>
      </c>
      <c r="AF16" s="152">
        <f t="shared" si="28"/>
      </c>
      <c r="AG16" s="60">
        <f t="shared" si="10"/>
      </c>
      <c r="AH16" s="155">
        <f t="shared" si="29"/>
      </c>
      <c r="AI16" s="137">
        <f t="shared" si="11"/>
      </c>
      <c r="AJ16" s="60">
        <f t="shared" si="12"/>
      </c>
      <c r="AK16" s="152">
        <f t="shared" si="13"/>
        <v>0</v>
      </c>
      <c r="AL16" s="152">
        <f t="shared" si="14"/>
      </c>
      <c r="AM16" s="60">
        <f t="shared" si="15"/>
      </c>
      <c r="AN16" s="60">
        <f t="shared" si="16"/>
        <v>0</v>
      </c>
      <c r="AO16" s="156">
        <f t="shared" si="17"/>
      </c>
      <c r="AP16" s="153">
        <f t="shared" si="30"/>
      </c>
      <c r="AQ16" s="152">
        <f t="shared" si="18"/>
      </c>
      <c r="AR16" s="157">
        <f t="shared" si="19"/>
      </c>
      <c r="AS16" s="60"/>
    </row>
    <row r="17" spans="1:45" ht="12.75">
      <c r="A17" s="45" t="s">
        <v>47</v>
      </c>
      <c r="B17" s="17"/>
      <c r="C17" s="17"/>
      <c r="D17" s="17"/>
      <c r="E17" s="17"/>
      <c r="F17" s="17"/>
      <c r="G17" s="62"/>
      <c r="H17" s="49">
        <f>SUM(H13)</f>
        <v>0</v>
      </c>
      <c r="I17" s="44">
        <f>MAX(M45-H17,0)</f>
        <v>0</v>
      </c>
      <c r="J17" s="44"/>
      <c r="K17" s="17"/>
      <c r="L17" s="132">
        <f t="shared" si="20"/>
      </c>
      <c r="M17" s="351">
        <f t="shared" si="0"/>
      </c>
      <c r="N17" s="331">
        <f t="shared" si="1"/>
      </c>
      <c r="O17" s="358">
        <f t="shared" si="21"/>
        <v>0</v>
      </c>
      <c r="P17" s="358">
        <f t="shared" si="22"/>
        <v>0</v>
      </c>
      <c r="Q17" s="331">
        <f t="shared" si="23"/>
      </c>
      <c r="R17" s="349">
        <f t="shared" si="24"/>
        <v>0</v>
      </c>
      <c r="S17" s="349">
        <f t="shared" si="25"/>
      </c>
      <c r="T17" s="153">
        <f>IF(Q17="","",IF(L17&lt;2008,100%,LOOKUP(L17,$P$1:$P$5,$Q$1:Q$5)))</f>
      </c>
      <c r="U17" s="154">
        <f>IF(Q17="","",IF(T17=13%,Q17*T17/30,(R17+S17)*T17))</f>
      </c>
      <c r="V17" s="316">
        <f t="shared" si="2"/>
      </c>
      <c r="W17" s="155">
        <f t="shared" si="26"/>
      </c>
      <c r="X17" s="137">
        <f t="shared" si="3"/>
      </c>
      <c r="Y17" s="60">
        <f t="shared" si="4"/>
      </c>
      <c r="Z17" s="152">
        <f t="shared" si="5"/>
        <v>0</v>
      </c>
      <c r="AA17" s="152">
        <f t="shared" si="6"/>
      </c>
      <c r="AB17" s="60">
        <f t="shared" si="7"/>
      </c>
      <c r="AC17" s="60">
        <f t="shared" si="8"/>
        <v>0</v>
      </c>
      <c r="AD17" s="60">
        <f t="shared" si="9"/>
      </c>
      <c r="AE17" s="153">
        <f t="shared" si="27"/>
      </c>
      <c r="AF17" s="152">
        <f t="shared" si="28"/>
      </c>
      <c r="AG17" s="60">
        <f t="shared" si="10"/>
      </c>
      <c r="AH17" s="155">
        <f t="shared" si="29"/>
      </c>
      <c r="AI17" s="137">
        <f t="shared" si="11"/>
      </c>
      <c r="AJ17" s="60">
        <f t="shared" si="12"/>
      </c>
      <c r="AK17" s="152">
        <f t="shared" si="13"/>
        <v>0</v>
      </c>
      <c r="AL17" s="152">
        <f t="shared" si="14"/>
      </c>
      <c r="AM17" s="60">
        <f t="shared" si="15"/>
      </c>
      <c r="AN17" s="60">
        <f t="shared" si="16"/>
        <v>0</v>
      </c>
      <c r="AO17" s="156">
        <f t="shared" si="17"/>
      </c>
      <c r="AP17" s="153">
        <f t="shared" si="30"/>
      </c>
      <c r="AQ17" s="152">
        <f t="shared" si="18"/>
      </c>
      <c r="AR17" s="157">
        <f t="shared" si="19"/>
      </c>
      <c r="AS17" s="60"/>
    </row>
    <row r="18" spans="1:45" ht="12.75">
      <c r="A18" s="17" t="s">
        <v>48</v>
      </c>
      <c r="B18" s="17"/>
      <c r="C18" s="17"/>
      <c r="D18" s="17"/>
      <c r="E18" s="17"/>
      <c r="F18" s="119"/>
      <c r="G18" s="62"/>
      <c r="H18" s="49">
        <f>SUM(H13)</f>
        <v>0</v>
      </c>
      <c r="I18" s="44">
        <f>MAX(F18-H18,0)</f>
        <v>0</v>
      </c>
      <c r="J18" s="44"/>
      <c r="K18" s="17"/>
      <c r="L18" s="132">
        <f t="shared" si="20"/>
      </c>
      <c r="M18" s="351">
        <f t="shared" si="0"/>
      </c>
      <c r="N18" s="331">
        <f t="shared" si="1"/>
      </c>
      <c r="O18" s="358">
        <f t="shared" si="21"/>
        <v>0</v>
      </c>
      <c r="P18" s="358">
        <f t="shared" si="22"/>
        <v>0</v>
      </c>
      <c r="Q18" s="331">
        <f t="shared" si="23"/>
      </c>
      <c r="R18" s="349">
        <f t="shared" si="24"/>
        <v>0</v>
      </c>
      <c r="S18" s="349">
        <f t="shared" si="25"/>
      </c>
      <c r="T18" s="153">
        <f>IF(Q18="","",IF(L18&lt;2008,100%,LOOKUP(L18,$P$1:$P$5,$Q$1:Q$5)))</f>
      </c>
      <c r="U18" s="154">
        <f aca="true" t="shared" si="31" ref="U18:U42">IF(Q18="","",IF(T18=13%,Q18*T18/30,(R18+S18)*T18))</f>
      </c>
      <c r="V18" s="316">
        <f t="shared" si="2"/>
      </c>
      <c r="W18" s="155">
        <f t="shared" si="26"/>
      </c>
      <c r="X18" s="137">
        <f t="shared" si="3"/>
      </c>
      <c r="Y18" s="60">
        <f t="shared" si="4"/>
      </c>
      <c r="Z18" s="152">
        <f t="shared" si="5"/>
        <v>0</v>
      </c>
      <c r="AA18" s="152">
        <f t="shared" si="6"/>
      </c>
      <c r="AB18" s="60">
        <f t="shared" si="7"/>
      </c>
      <c r="AC18" s="60">
        <f t="shared" si="8"/>
        <v>0</v>
      </c>
      <c r="AD18" s="60">
        <f t="shared" si="9"/>
      </c>
      <c r="AE18" s="153">
        <f t="shared" si="27"/>
      </c>
      <c r="AF18" s="152">
        <f t="shared" si="28"/>
      </c>
      <c r="AG18" s="60">
        <f t="shared" si="10"/>
      </c>
      <c r="AH18" s="155">
        <f t="shared" si="29"/>
      </c>
      <c r="AI18" s="137">
        <f t="shared" si="11"/>
      </c>
      <c r="AJ18" s="60">
        <f t="shared" si="12"/>
      </c>
      <c r="AK18" s="152">
        <f t="shared" si="13"/>
        <v>0</v>
      </c>
      <c r="AL18" s="152">
        <f t="shared" si="14"/>
      </c>
      <c r="AM18" s="60">
        <f t="shared" si="15"/>
      </c>
      <c r="AN18" s="60">
        <f t="shared" si="16"/>
        <v>0</v>
      </c>
      <c r="AO18" s="156">
        <f t="shared" si="17"/>
      </c>
      <c r="AP18" s="153">
        <f t="shared" si="30"/>
      </c>
      <c r="AQ18" s="152">
        <f t="shared" si="18"/>
      </c>
      <c r="AR18" s="157">
        <f t="shared" si="19"/>
      </c>
      <c r="AS18" s="60"/>
    </row>
    <row r="19" spans="1:45" ht="12.75">
      <c r="A19" s="17" t="s">
        <v>49</v>
      </c>
      <c r="B19" s="17"/>
      <c r="C19" s="17"/>
      <c r="D19" s="17"/>
      <c r="E19" s="17"/>
      <c r="F19" s="122"/>
      <c r="G19" s="49">
        <f>IF(F19="",F18,F18*F19)</f>
        <v>0</v>
      </c>
      <c r="H19" s="17"/>
      <c r="I19" s="17"/>
      <c r="J19" s="17"/>
      <c r="K19" s="17"/>
      <c r="L19" s="132">
        <f t="shared" si="20"/>
      </c>
      <c r="M19" s="351">
        <f t="shared" si="0"/>
      </c>
      <c r="N19" s="331">
        <f t="shared" si="1"/>
      </c>
      <c r="O19" s="358">
        <f t="shared" si="21"/>
        <v>0</v>
      </c>
      <c r="P19" s="358">
        <f t="shared" si="22"/>
        <v>0</v>
      </c>
      <c r="Q19" s="331">
        <f t="shared" si="23"/>
      </c>
      <c r="R19" s="349">
        <f t="shared" si="24"/>
        <v>0</v>
      </c>
      <c r="S19" s="349">
        <f t="shared" si="25"/>
      </c>
      <c r="T19" s="153">
        <f>IF(Q19="","",IF(L19&lt;2008,100%,LOOKUP(L19,$P$1:$P$5,$Q$1:Q$5)))</f>
      </c>
      <c r="U19" s="154">
        <f t="shared" si="31"/>
      </c>
      <c r="V19" s="316">
        <f t="shared" si="2"/>
      </c>
      <c r="W19" s="155">
        <f t="shared" si="26"/>
      </c>
      <c r="X19" s="137">
        <f t="shared" si="3"/>
      </c>
      <c r="Y19" s="60">
        <f t="shared" si="4"/>
      </c>
      <c r="Z19" s="152">
        <f t="shared" si="5"/>
        <v>0</v>
      </c>
      <c r="AA19" s="152">
        <f t="shared" si="6"/>
      </c>
      <c r="AB19" s="60">
        <f t="shared" si="7"/>
      </c>
      <c r="AC19" s="60">
        <f t="shared" si="8"/>
        <v>0</v>
      </c>
      <c r="AD19" s="60">
        <f t="shared" si="9"/>
      </c>
      <c r="AE19" s="153">
        <f t="shared" si="27"/>
      </c>
      <c r="AF19" s="152">
        <f t="shared" si="28"/>
      </c>
      <c r="AG19" s="60">
        <f t="shared" si="10"/>
      </c>
      <c r="AH19" s="155">
        <f t="shared" si="29"/>
      </c>
      <c r="AI19" s="137">
        <f t="shared" si="11"/>
      </c>
      <c r="AJ19" s="60">
        <f t="shared" si="12"/>
      </c>
      <c r="AK19" s="152">
        <f t="shared" si="13"/>
        <v>0</v>
      </c>
      <c r="AL19" s="152">
        <f t="shared" si="14"/>
      </c>
      <c r="AM19" s="60">
        <f t="shared" si="15"/>
      </c>
      <c r="AN19" s="60">
        <f t="shared" si="16"/>
        <v>0</v>
      </c>
      <c r="AO19" s="156">
        <f t="shared" si="17"/>
      </c>
      <c r="AP19" s="153">
        <f t="shared" si="30"/>
      </c>
      <c r="AQ19" s="152">
        <f t="shared" si="18"/>
      </c>
      <c r="AR19" s="157">
        <f t="shared" si="19"/>
      </c>
      <c r="AS19" s="60"/>
    </row>
    <row r="20" spans="1:45" ht="12.75">
      <c r="A20" s="17"/>
      <c r="B20" s="17"/>
      <c r="C20" s="17"/>
      <c r="D20" s="17"/>
      <c r="E20" s="17"/>
      <c r="F20" s="17"/>
      <c r="G20" s="62"/>
      <c r="H20" s="17"/>
      <c r="I20" s="17"/>
      <c r="J20" s="17"/>
      <c r="K20" s="17"/>
      <c r="L20" s="132">
        <f t="shared" si="20"/>
      </c>
      <c r="M20" s="351">
        <f t="shared" si="0"/>
      </c>
      <c r="N20" s="331">
        <f t="shared" si="1"/>
      </c>
      <c r="O20" s="358">
        <f t="shared" si="21"/>
        <v>0</v>
      </c>
      <c r="P20" s="358">
        <f t="shared" si="22"/>
        <v>0</v>
      </c>
      <c r="Q20" s="331">
        <f t="shared" si="23"/>
      </c>
      <c r="R20" s="349">
        <f t="shared" si="24"/>
        <v>0</v>
      </c>
      <c r="S20" s="349">
        <f t="shared" si="25"/>
      </c>
      <c r="T20" s="153">
        <f>IF(Q20="","",IF(L20&lt;2008,100%,LOOKUP(L20,$P$1:$P$5,$Q$1:Q$5)))</f>
      </c>
      <c r="U20" s="154">
        <f t="shared" si="31"/>
      </c>
      <c r="V20" s="316">
        <f t="shared" si="2"/>
      </c>
      <c r="W20" s="155">
        <f t="shared" si="26"/>
      </c>
      <c r="X20" s="137">
        <f t="shared" si="3"/>
      </c>
      <c r="Y20" s="60">
        <f t="shared" si="4"/>
      </c>
      <c r="Z20" s="152">
        <f t="shared" si="5"/>
        <v>0</v>
      </c>
      <c r="AA20" s="152">
        <f t="shared" si="6"/>
      </c>
      <c r="AB20" s="60">
        <f t="shared" si="7"/>
      </c>
      <c r="AC20" s="60">
        <f t="shared" si="8"/>
        <v>0</v>
      </c>
      <c r="AD20" s="60">
        <f t="shared" si="9"/>
      </c>
      <c r="AE20" s="153">
        <f t="shared" si="27"/>
      </c>
      <c r="AF20" s="152">
        <f t="shared" si="28"/>
      </c>
      <c r="AG20" s="60">
        <f t="shared" si="10"/>
      </c>
      <c r="AH20" s="155">
        <f t="shared" si="29"/>
      </c>
      <c r="AI20" s="137">
        <f t="shared" si="11"/>
      </c>
      <c r="AJ20" s="60">
        <f t="shared" si="12"/>
      </c>
      <c r="AK20" s="152">
        <f t="shared" si="13"/>
        <v>0</v>
      </c>
      <c r="AL20" s="152">
        <f t="shared" si="14"/>
      </c>
      <c r="AM20" s="60">
        <f t="shared" si="15"/>
      </c>
      <c r="AN20" s="60">
        <f t="shared" si="16"/>
        <v>0</v>
      </c>
      <c r="AO20" s="156">
        <f t="shared" si="17"/>
      </c>
      <c r="AP20" s="153">
        <f t="shared" si="30"/>
      </c>
      <c r="AQ20" s="152">
        <f t="shared" si="18"/>
      </c>
      <c r="AR20" s="157">
        <f t="shared" si="19"/>
      </c>
      <c r="AS20" s="60"/>
    </row>
    <row r="21" spans="1:45" ht="12.75">
      <c r="A21" s="17" t="s">
        <v>58</v>
      </c>
      <c r="B21" s="17"/>
      <c r="C21" s="17"/>
      <c r="D21" s="17"/>
      <c r="E21" s="17"/>
      <c r="F21" s="119"/>
      <c r="G21" s="17"/>
      <c r="H21" s="142">
        <f>SUM(H13)</f>
        <v>0</v>
      </c>
      <c r="I21" s="137">
        <f>MAX(F21-H21,0)</f>
        <v>0</v>
      </c>
      <c r="J21" s="17"/>
      <c r="K21" s="17"/>
      <c r="L21" s="132">
        <f t="shared" si="20"/>
      </c>
      <c r="M21" s="351">
        <f t="shared" si="0"/>
      </c>
      <c r="N21" s="331">
        <f t="shared" si="1"/>
      </c>
      <c r="O21" s="358">
        <f t="shared" si="21"/>
        <v>0</v>
      </c>
      <c r="P21" s="358">
        <f t="shared" si="22"/>
        <v>0</v>
      </c>
      <c r="Q21" s="331">
        <f t="shared" si="23"/>
      </c>
      <c r="R21" s="349">
        <f t="shared" si="24"/>
        <v>0</v>
      </c>
      <c r="S21" s="349">
        <f t="shared" si="25"/>
      </c>
      <c r="T21" s="153">
        <f>IF(Q21="","",IF(L21&lt;2008,100%,LOOKUP(L21,$P$1:$P$5,$Q$1:Q$5)))</f>
      </c>
      <c r="U21" s="154">
        <f t="shared" si="31"/>
      </c>
      <c r="V21" s="316">
        <f t="shared" si="2"/>
      </c>
      <c r="W21" s="155">
        <f t="shared" si="26"/>
      </c>
      <c r="X21" s="137">
        <f t="shared" si="3"/>
      </c>
      <c r="Y21" s="60">
        <f t="shared" si="4"/>
      </c>
      <c r="Z21" s="152">
        <f t="shared" si="5"/>
        <v>0</v>
      </c>
      <c r="AA21" s="152">
        <f t="shared" si="6"/>
      </c>
      <c r="AB21" s="60">
        <f t="shared" si="7"/>
      </c>
      <c r="AC21" s="60">
        <f t="shared" si="8"/>
        <v>0</v>
      </c>
      <c r="AD21" s="60">
        <f t="shared" si="9"/>
      </c>
      <c r="AE21" s="153">
        <f t="shared" si="27"/>
      </c>
      <c r="AF21" s="152">
        <f t="shared" si="28"/>
      </c>
      <c r="AG21" s="60">
        <f t="shared" si="10"/>
      </c>
      <c r="AH21" s="155">
        <f t="shared" si="29"/>
      </c>
      <c r="AI21" s="137">
        <f t="shared" si="11"/>
      </c>
      <c r="AJ21" s="60">
        <f t="shared" si="12"/>
      </c>
      <c r="AK21" s="152">
        <f t="shared" si="13"/>
        <v>0</v>
      </c>
      <c r="AL21" s="152">
        <f t="shared" si="14"/>
      </c>
      <c r="AM21" s="60">
        <f t="shared" si="15"/>
      </c>
      <c r="AN21" s="60">
        <f t="shared" si="16"/>
        <v>0</v>
      </c>
      <c r="AO21" s="156">
        <f t="shared" si="17"/>
      </c>
      <c r="AP21" s="153">
        <f t="shared" si="30"/>
      </c>
      <c r="AQ21" s="152">
        <f t="shared" si="18"/>
      </c>
      <c r="AR21" s="157">
        <f t="shared" si="19"/>
      </c>
      <c r="AS21" s="60"/>
    </row>
    <row r="22" spans="1:45" ht="12.75">
      <c r="A22" s="17"/>
      <c r="B22" s="17"/>
      <c r="C22" s="17"/>
      <c r="D22" s="58" t="s">
        <v>69</v>
      </c>
      <c r="E22" s="17"/>
      <c r="F22" s="17"/>
      <c r="G22" s="17"/>
      <c r="H22" s="17"/>
      <c r="I22" s="17"/>
      <c r="J22" s="17"/>
      <c r="K22" s="17"/>
      <c r="L22" s="132">
        <f t="shared" si="20"/>
      </c>
      <c r="M22" s="351">
        <f t="shared" si="0"/>
      </c>
      <c r="N22" s="331">
        <f t="shared" si="1"/>
      </c>
      <c r="O22" s="358">
        <f t="shared" si="21"/>
        <v>0</v>
      </c>
      <c r="P22" s="358">
        <f>IF(L22&lt;$F$12,0,MAX(IF($D$29&gt;L22,0,($G$19-$I$18)*$D$31/30),0))</f>
        <v>0</v>
      </c>
      <c r="Q22" s="331">
        <f t="shared" si="23"/>
      </c>
      <c r="R22" s="349">
        <f t="shared" si="24"/>
        <v>0</v>
      </c>
      <c r="S22" s="349">
        <f t="shared" si="25"/>
      </c>
      <c r="T22" s="153">
        <f>IF(Q22="","",IF(L22&lt;2008,100%,LOOKUP(L22,$P$1:$P$5,$Q$1:Q$5)))</f>
      </c>
      <c r="U22" s="154">
        <f t="shared" si="31"/>
      </c>
      <c r="V22" s="316">
        <f t="shared" si="2"/>
      </c>
      <c r="W22" s="155">
        <f t="shared" si="26"/>
      </c>
      <c r="X22" s="137">
        <f t="shared" si="3"/>
      </c>
      <c r="Y22" s="60">
        <f t="shared" si="4"/>
      </c>
      <c r="Z22" s="152">
        <f t="shared" si="5"/>
        <v>0</v>
      </c>
      <c r="AA22" s="152">
        <f t="shared" si="6"/>
      </c>
      <c r="AB22" s="60">
        <f t="shared" si="7"/>
      </c>
      <c r="AC22" s="60">
        <f t="shared" si="8"/>
        <v>0</v>
      </c>
      <c r="AD22" s="60">
        <f t="shared" si="9"/>
      </c>
      <c r="AE22" s="153">
        <f t="shared" si="27"/>
      </c>
      <c r="AF22" s="152">
        <f t="shared" si="28"/>
      </c>
      <c r="AG22" s="60">
        <f t="shared" si="10"/>
      </c>
      <c r="AH22" s="155">
        <f t="shared" si="29"/>
      </c>
      <c r="AI22" s="137">
        <f t="shared" si="11"/>
      </c>
      <c r="AJ22" s="60">
        <f t="shared" si="12"/>
      </c>
      <c r="AK22" s="152">
        <f t="shared" si="13"/>
        <v>0</v>
      </c>
      <c r="AL22" s="152">
        <f t="shared" si="14"/>
      </c>
      <c r="AM22" s="60">
        <f t="shared" si="15"/>
      </c>
      <c r="AN22" s="60">
        <f t="shared" si="16"/>
        <v>0</v>
      </c>
      <c r="AO22" s="156">
        <f t="shared" si="17"/>
      </c>
      <c r="AP22" s="153">
        <f t="shared" si="30"/>
      </c>
      <c r="AQ22" s="152">
        <f t="shared" si="18"/>
      </c>
      <c r="AR22" s="157">
        <f t="shared" si="19"/>
      </c>
      <c r="AS22" s="60"/>
    </row>
    <row r="23" spans="1:45" ht="12.75">
      <c r="A23" s="17" t="s">
        <v>70</v>
      </c>
      <c r="B23" s="17"/>
      <c r="C23" s="26"/>
      <c r="D23" s="158"/>
      <c r="E23" s="159"/>
      <c r="F23" s="17"/>
      <c r="G23" s="17"/>
      <c r="H23" s="17"/>
      <c r="I23" s="17"/>
      <c r="J23" s="17"/>
      <c r="K23" s="17"/>
      <c r="L23" s="132">
        <f t="shared" si="20"/>
      </c>
      <c r="M23" s="351">
        <f t="shared" si="0"/>
      </c>
      <c r="N23" s="331">
        <f t="shared" si="1"/>
      </c>
      <c r="O23" s="358">
        <f t="shared" si="21"/>
        <v>0</v>
      </c>
      <c r="P23" s="358">
        <f t="shared" si="22"/>
        <v>0</v>
      </c>
      <c r="Q23" s="331">
        <f t="shared" si="23"/>
      </c>
      <c r="R23" s="349">
        <f t="shared" si="24"/>
        <v>0</v>
      </c>
      <c r="S23" s="349">
        <f t="shared" si="25"/>
      </c>
      <c r="T23" s="153">
        <f>IF(Q23="","",IF(L23&lt;2008,100%,LOOKUP(L23,$P$1:$P$5,$Q$1:Q$5)))</f>
      </c>
      <c r="U23" s="154">
        <f t="shared" si="31"/>
      </c>
      <c r="V23" s="316">
        <f t="shared" si="2"/>
      </c>
      <c r="W23" s="155">
        <f t="shared" si="26"/>
      </c>
      <c r="X23" s="137">
        <f t="shared" si="3"/>
      </c>
      <c r="Y23" s="60">
        <f t="shared" si="4"/>
      </c>
      <c r="Z23" s="152">
        <f t="shared" si="5"/>
        <v>0</v>
      </c>
      <c r="AA23" s="152">
        <f t="shared" si="6"/>
      </c>
      <c r="AB23" s="60">
        <f t="shared" si="7"/>
      </c>
      <c r="AC23" s="60">
        <f t="shared" si="8"/>
        <v>0</v>
      </c>
      <c r="AD23" s="60">
        <f t="shared" si="9"/>
      </c>
      <c r="AE23" s="153">
        <f t="shared" si="27"/>
      </c>
      <c r="AF23" s="152">
        <f t="shared" si="28"/>
      </c>
      <c r="AG23" s="60">
        <f t="shared" si="10"/>
      </c>
      <c r="AH23" s="155">
        <f t="shared" si="29"/>
      </c>
      <c r="AI23" s="137">
        <f t="shared" si="11"/>
      </c>
      <c r="AJ23" s="60">
        <f t="shared" si="12"/>
      </c>
      <c r="AK23" s="152">
        <f t="shared" si="13"/>
        <v>0</v>
      </c>
      <c r="AL23" s="152">
        <f t="shared" si="14"/>
      </c>
      <c r="AM23" s="60">
        <f t="shared" si="15"/>
      </c>
      <c r="AN23" s="60">
        <f t="shared" si="16"/>
        <v>0</v>
      </c>
      <c r="AO23" s="156">
        <f t="shared" si="17"/>
      </c>
      <c r="AP23" s="153">
        <f t="shared" si="30"/>
      </c>
      <c r="AQ23" s="152">
        <f t="shared" si="18"/>
      </c>
      <c r="AR23" s="157">
        <f t="shared" si="19"/>
      </c>
      <c r="AS23" s="60"/>
    </row>
    <row r="24" spans="1:45" ht="12.75">
      <c r="A24" s="17" t="s">
        <v>71</v>
      </c>
      <c r="B24" s="17"/>
      <c r="C24" s="26"/>
      <c r="D24" s="160"/>
      <c r="E24" s="17"/>
      <c r="F24" s="17"/>
      <c r="G24" s="17"/>
      <c r="H24" s="17"/>
      <c r="I24" s="17"/>
      <c r="J24" s="17"/>
      <c r="K24" s="17"/>
      <c r="L24" s="132">
        <f t="shared" si="20"/>
      </c>
      <c r="M24" s="351">
        <f t="shared" si="0"/>
      </c>
      <c r="N24" s="331">
        <f t="shared" si="1"/>
      </c>
      <c r="O24" s="358">
        <f t="shared" si="21"/>
        <v>0</v>
      </c>
      <c r="P24" s="358">
        <f t="shared" si="22"/>
        <v>0</v>
      </c>
      <c r="Q24" s="331">
        <f t="shared" si="23"/>
      </c>
      <c r="R24" s="349">
        <f t="shared" si="24"/>
        <v>0</v>
      </c>
      <c r="S24" s="349">
        <f t="shared" si="25"/>
      </c>
      <c r="T24" s="153">
        <f>IF(Q24="","",IF(L24&lt;2008,100%,LOOKUP(L24,$P$1:$P$5,$Q$1:Q$5)))</f>
      </c>
      <c r="U24" s="154">
        <f t="shared" si="31"/>
      </c>
      <c r="V24" s="316">
        <f t="shared" si="2"/>
      </c>
      <c r="W24" s="155">
        <f t="shared" si="26"/>
      </c>
      <c r="X24" s="137">
        <f t="shared" si="3"/>
      </c>
      <c r="Y24" s="60">
        <f t="shared" si="4"/>
      </c>
      <c r="Z24" s="152">
        <f t="shared" si="5"/>
        <v>0</v>
      </c>
      <c r="AA24" s="152">
        <f t="shared" si="6"/>
      </c>
      <c r="AB24" s="60">
        <f t="shared" si="7"/>
      </c>
      <c r="AC24" s="60">
        <f t="shared" si="8"/>
        <v>0</v>
      </c>
      <c r="AD24" s="60">
        <f t="shared" si="9"/>
      </c>
      <c r="AE24" s="153">
        <f t="shared" si="27"/>
      </c>
      <c r="AF24" s="152">
        <f t="shared" si="28"/>
      </c>
      <c r="AG24" s="60">
        <f t="shared" si="10"/>
      </c>
      <c r="AH24" s="155">
        <f t="shared" si="29"/>
      </c>
      <c r="AI24" s="137">
        <f t="shared" si="11"/>
      </c>
      <c r="AJ24" s="60">
        <f t="shared" si="12"/>
      </c>
      <c r="AK24" s="152">
        <f t="shared" si="13"/>
        <v>0</v>
      </c>
      <c r="AL24" s="152">
        <f t="shared" si="14"/>
      </c>
      <c r="AM24" s="60">
        <f t="shared" si="15"/>
      </c>
      <c r="AN24" s="60">
        <f t="shared" si="16"/>
        <v>0</v>
      </c>
      <c r="AO24" s="156">
        <f t="shared" si="17"/>
      </c>
      <c r="AP24" s="153">
        <f t="shared" si="30"/>
      </c>
      <c r="AQ24" s="152">
        <f t="shared" si="18"/>
      </c>
      <c r="AR24" s="157">
        <f t="shared" si="19"/>
      </c>
      <c r="AS24" s="60"/>
    </row>
    <row r="25" spans="1:45" ht="12.75">
      <c r="A25" s="17"/>
      <c r="B25" s="17"/>
      <c r="C25" s="161" t="s">
        <v>66</v>
      </c>
      <c r="D25" s="162">
        <f>IF(D24="",ROUND(4.5%*13/4.5,2),ROUND(D24*13/4.5,2))</f>
        <v>0.13</v>
      </c>
      <c r="E25" s="17"/>
      <c r="F25" s="17"/>
      <c r="G25" s="17"/>
      <c r="H25" s="17"/>
      <c r="I25" s="17"/>
      <c r="J25" s="17"/>
      <c r="K25" s="17"/>
      <c r="L25" s="132">
        <f t="shared" si="20"/>
      </c>
      <c r="M25" s="351">
        <f t="shared" si="0"/>
      </c>
      <c r="N25" s="331">
        <f t="shared" si="1"/>
      </c>
      <c r="O25" s="358">
        <f t="shared" si="21"/>
        <v>0</v>
      </c>
      <c r="P25" s="358">
        <f t="shared" si="22"/>
        <v>0</v>
      </c>
      <c r="Q25" s="331">
        <f t="shared" si="23"/>
      </c>
      <c r="R25" s="349">
        <f t="shared" si="24"/>
        <v>0</v>
      </c>
      <c r="S25" s="349">
        <f t="shared" si="25"/>
      </c>
      <c r="T25" s="153">
        <f>IF(Q25="","",IF(L25&lt;2008,100%,LOOKUP(L25,$P$1:$P$5,$Q$1:Q$5)))</f>
      </c>
      <c r="U25" s="154">
        <f t="shared" si="31"/>
      </c>
      <c r="V25" s="316">
        <f t="shared" si="2"/>
      </c>
      <c r="W25" s="155">
        <f t="shared" si="26"/>
      </c>
      <c r="X25" s="137">
        <f t="shared" si="3"/>
      </c>
      <c r="Y25" s="60">
        <f t="shared" si="4"/>
      </c>
      <c r="Z25" s="152">
        <f t="shared" si="5"/>
        <v>0</v>
      </c>
      <c r="AA25" s="152">
        <f t="shared" si="6"/>
      </c>
      <c r="AB25" s="60">
        <f t="shared" si="7"/>
      </c>
      <c r="AC25" s="60">
        <f t="shared" si="8"/>
        <v>0</v>
      </c>
      <c r="AD25" s="60">
        <f t="shared" si="9"/>
      </c>
      <c r="AE25" s="153">
        <f t="shared" si="27"/>
      </c>
      <c r="AF25" s="152">
        <f t="shared" si="28"/>
      </c>
      <c r="AG25" s="60">
        <f t="shared" si="10"/>
      </c>
      <c r="AH25" s="155">
        <f t="shared" si="29"/>
      </c>
      <c r="AI25" s="137">
        <f t="shared" si="11"/>
      </c>
      <c r="AJ25" s="60">
        <f t="shared" si="12"/>
      </c>
      <c r="AK25" s="152">
        <f t="shared" si="13"/>
        <v>0</v>
      </c>
      <c r="AL25" s="152">
        <f t="shared" si="14"/>
      </c>
      <c r="AM25" s="60">
        <f t="shared" si="15"/>
      </c>
      <c r="AN25" s="60">
        <f t="shared" si="16"/>
        <v>0</v>
      </c>
      <c r="AO25" s="156">
        <f t="shared" si="17"/>
      </c>
      <c r="AP25" s="153">
        <f t="shared" si="30"/>
      </c>
      <c r="AQ25" s="152">
        <f t="shared" si="18"/>
      </c>
      <c r="AR25" s="157">
        <f t="shared" si="19"/>
      </c>
      <c r="AS25" s="60"/>
    </row>
    <row r="26" spans="1:45" ht="12.75">
      <c r="A26" s="17"/>
      <c r="B26" s="17"/>
      <c r="C26" s="163" t="s">
        <v>67</v>
      </c>
      <c r="D26" s="164">
        <f>ROUND(D25+55%,2)</f>
        <v>0.68</v>
      </c>
      <c r="E26" s="17"/>
      <c r="F26" s="17"/>
      <c r="G26" s="17"/>
      <c r="H26" s="165"/>
      <c r="I26" s="138"/>
      <c r="J26" s="17"/>
      <c r="K26" s="17"/>
      <c r="L26" s="132">
        <f t="shared" si="20"/>
      </c>
      <c r="M26" s="351">
        <f t="shared" si="0"/>
      </c>
      <c r="N26" s="331">
        <f t="shared" si="1"/>
      </c>
      <c r="O26" s="358">
        <f t="shared" si="21"/>
        <v>0</v>
      </c>
      <c r="P26" s="358">
        <f t="shared" si="22"/>
        <v>0</v>
      </c>
      <c r="Q26" s="331">
        <f t="shared" si="23"/>
      </c>
      <c r="R26" s="349">
        <f t="shared" si="24"/>
        <v>0</v>
      </c>
      <c r="S26" s="349">
        <f t="shared" si="25"/>
      </c>
      <c r="T26" s="153">
        <f>IF(Q26="","",IF(L26&lt;2008,100%,LOOKUP(L26,$P$1:$P$5,$Q$1:Q$5)))</f>
      </c>
      <c r="U26" s="154">
        <f t="shared" si="31"/>
      </c>
      <c r="V26" s="316">
        <f t="shared" si="2"/>
      </c>
      <c r="W26" s="155">
        <f t="shared" si="26"/>
      </c>
      <c r="X26" s="137">
        <f t="shared" si="3"/>
      </c>
      <c r="Y26" s="60">
        <f t="shared" si="4"/>
      </c>
      <c r="Z26" s="152">
        <f t="shared" si="5"/>
        <v>0</v>
      </c>
      <c r="AA26" s="152">
        <f t="shared" si="6"/>
      </c>
      <c r="AB26" s="60">
        <f t="shared" si="7"/>
      </c>
      <c r="AC26" s="60">
        <f t="shared" si="8"/>
        <v>0</v>
      </c>
      <c r="AD26" s="60">
        <f t="shared" si="9"/>
      </c>
      <c r="AE26" s="153">
        <f t="shared" si="27"/>
      </c>
      <c r="AF26" s="152">
        <f t="shared" si="28"/>
      </c>
      <c r="AG26" s="60">
        <f t="shared" si="10"/>
      </c>
      <c r="AH26" s="155">
        <f t="shared" si="29"/>
      </c>
      <c r="AI26" s="137">
        <f t="shared" si="11"/>
      </c>
      <c r="AJ26" s="60">
        <f t="shared" si="12"/>
      </c>
      <c r="AK26" s="152">
        <f t="shared" si="13"/>
        <v>0</v>
      </c>
      <c r="AL26" s="152">
        <f t="shared" si="14"/>
      </c>
      <c r="AM26" s="60">
        <f t="shared" si="15"/>
      </c>
      <c r="AN26" s="60">
        <f t="shared" si="16"/>
        <v>0</v>
      </c>
      <c r="AO26" s="156">
        <f t="shared" si="17"/>
      </c>
      <c r="AP26" s="153">
        <f t="shared" si="30"/>
      </c>
      <c r="AQ26" s="152">
        <f t="shared" si="18"/>
      </c>
      <c r="AR26" s="157">
        <f t="shared" si="19"/>
      </c>
      <c r="AS26" s="60"/>
    </row>
    <row r="27" spans="1:4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32">
        <f t="shared" si="20"/>
      </c>
      <c r="M27" s="351">
        <f t="shared" si="0"/>
      </c>
      <c r="N27" s="331">
        <f t="shared" si="1"/>
      </c>
      <c r="O27" s="358">
        <f t="shared" si="21"/>
        <v>0</v>
      </c>
      <c r="P27" s="358">
        <f t="shared" si="22"/>
        <v>0</v>
      </c>
      <c r="Q27" s="331">
        <f t="shared" si="23"/>
      </c>
      <c r="R27" s="349">
        <f t="shared" si="24"/>
        <v>0</v>
      </c>
      <c r="S27" s="349">
        <f t="shared" si="25"/>
      </c>
      <c r="T27" s="153">
        <f>IF(Q27="","",IF(L27&lt;2008,100%,LOOKUP(L27,$P$1:$P$5,$Q$1:Q$5)))</f>
      </c>
      <c r="U27" s="154">
        <f t="shared" si="31"/>
      </c>
      <c r="V27" s="316">
        <f t="shared" si="2"/>
      </c>
      <c r="W27" s="155">
        <f t="shared" si="26"/>
      </c>
      <c r="X27" s="137">
        <f t="shared" si="3"/>
      </c>
      <c r="Y27" s="60">
        <f t="shared" si="4"/>
      </c>
      <c r="Z27" s="152">
        <f t="shared" si="5"/>
        <v>0</v>
      </c>
      <c r="AA27" s="152">
        <f t="shared" si="6"/>
      </c>
      <c r="AB27" s="60">
        <f t="shared" si="7"/>
      </c>
      <c r="AC27" s="60">
        <f t="shared" si="8"/>
        <v>0</v>
      </c>
      <c r="AD27" s="60">
        <f t="shared" si="9"/>
      </c>
      <c r="AE27" s="153">
        <f t="shared" si="27"/>
      </c>
      <c r="AF27" s="152">
        <f t="shared" si="28"/>
      </c>
      <c r="AG27" s="60">
        <f t="shared" si="10"/>
      </c>
      <c r="AH27" s="155">
        <f t="shared" si="29"/>
      </c>
      <c r="AI27" s="137">
        <f t="shared" si="11"/>
      </c>
      <c r="AJ27" s="60">
        <f t="shared" si="12"/>
      </c>
      <c r="AK27" s="152">
        <f t="shared" si="13"/>
        <v>0</v>
      </c>
      <c r="AL27" s="152">
        <f t="shared" si="14"/>
      </c>
      <c r="AM27" s="60">
        <f t="shared" si="15"/>
      </c>
      <c r="AN27" s="60">
        <f t="shared" si="16"/>
        <v>0</v>
      </c>
      <c r="AO27" s="156">
        <f t="shared" si="17"/>
      </c>
      <c r="AP27" s="153">
        <f t="shared" si="30"/>
      </c>
      <c r="AQ27" s="152">
        <f t="shared" si="18"/>
      </c>
      <c r="AR27" s="157">
        <f t="shared" si="19"/>
      </c>
      <c r="AS27" s="60"/>
    </row>
    <row r="28" spans="1:45" ht="12.75">
      <c r="A28" s="17"/>
      <c r="B28" s="17"/>
      <c r="C28" s="17"/>
      <c r="D28" s="58" t="s">
        <v>76</v>
      </c>
      <c r="E28" s="17"/>
      <c r="F28" s="17"/>
      <c r="G28" s="17"/>
      <c r="H28" s="17"/>
      <c r="I28" s="17"/>
      <c r="J28" s="17"/>
      <c r="K28" s="17"/>
      <c r="L28" s="132">
        <f t="shared" si="20"/>
      </c>
      <c r="M28" s="351">
        <f t="shared" si="0"/>
      </c>
      <c r="N28" s="331">
        <f t="shared" si="1"/>
      </c>
      <c r="O28" s="358">
        <f t="shared" si="21"/>
        <v>0</v>
      </c>
      <c r="P28" s="358">
        <f t="shared" si="22"/>
        <v>0</v>
      </c>
      <c r="Q28" s="331">
        <f t="shared" si="23"/>
      </c>
      <c r="R28" s="349">
        <f t="shared" si="24"/>
        <v>0</v>
      </c>
      <c r="S28" s="349">
        <f t="shared" si="25"/>
      </c>
      <c r="T28" s="153">
        <f>IF(Q28="","",IF(L28&lt;2008,100%,LOOKUP(L28,$P$1:$P$5,$Q$1:Q$5)))</f>
      </c>
      <c r="U28" s="154">
        <f t="shared" si="31"/>
      </c>
      <c r="V28" s="316">
        <f t="shared" si="2"/>
      </c>
      <c r="W28" s="155">
        <f t="shared" si="26"/>
      </c>
      <c r="X28" s="137">
        <f t="shared" si="3"/>
      </c>
      <c r="Y28" s="60">
        <f t="shared" si="4"/>
      </c>
      <c r="Z28" s="152">
        <f t="shared" si="5"/>
        <v>0</v>
      </c>
      <c r="AA28" s="152">
        <f t="shared" si="6"/>
      </c>
      <c r="AB28" s="60">
        <f t="shared" si="7"/>
      </c>
      <c r="AC28" s="60">
        <f t="shared" si="8"/>
        <v>0</v>
      </c>
      <c r="AD28" s="60">
        <f t="shared" si="9"/>
      </c>
      <c r="AE28" s="153">
        <f t="shared" si="27"/>
      </c>
      <c r="AF28" s="152">
        <f t="shared" si="28"/>
      </c>
      <c r="AG28" s="60">
        <f t="shared" si="10"/>
      </c>
      <c r="AH28" s="155">
        <f t="shared" si="29"/>
      </c>
      <c r="AI28" s="137">
        <f t="shared" si="11"/>
      </c>
      <c r="AJ28" s="60">
        <f t="shared" si="12"/>
      </c>
      <c r="AK28" s="152">
        <f t="shared" si="13"/>
        <v>0</v>
      </c>
      <c r="AL28" s="152">
        <f t="shared" si="14"/>
      </c>
      <c r="AM28" s="60">
        <f t="shared" si="15"/>
      </c>
      <c r="AN28" s="60">
        <f t="shared" si="16"/>
        <v>0</v>
      </c>
      <c r="AO28" s="156">
        <f t="shared" si="17"/>
      </c>
      <c r="AP28" s="153">
        <f t="shared" si="30"/>
      </c>
      <c r="AQ28" s="152">
        <f t="shared" si="18"/>
      </c>
      <c r="AR28" s="157">
        <f t="shared" si="19"/>
      </c>
      <c r="AS28" s="60"/>
    </row>
    <row r="29" spans="1:45" ht="12.75">
      <c r="A29" s="17" t="s">
        <v>70</v>
      </c>
      <c r="B29" s="17"/>
      <c r="C29" s="26"/>
      <c r="D29" s="158"/>
      <c r="E29" s="17"/>
      <c r="F29" s="17"/>
      <c r="G29" s="17"/>
      <c r="H29" s="17"/>
      <c r="I29" s="17"/>
      <c r="J29" s="17"/>
      <c r="K29" s="17"/>
      <c r="L29" s="132">
        <f t="shared" si="20"/>
      </c>
      <c r="M29" s="351">
        <f t="shared" si="0"/>
      </c>
      <c r="N29" s="331">
        <f t="shared" si="1"/>
      </c>
      <c r="O29" s="358">
        <f t="shared" si="21"/>
        <v>0</v>
      </c>
      <c r="P29" s="358">
        <f t="shared" si="22"/>
        <v>0</v>
      </c>
      <c r="Q29" s="331">
        <f t="shared" si="23"/>
      </c>
      <c r="R29" s="349">
        <f t="shared" si="24"/>
        <v>0</v>
      </c>
      <c r="S29" s="349">
        <f t="shared" si="25"/>
      </c>
      <c r="T29" s="153">
        <f>IF(Q29="","",IF(L29&lt;2008,100%,LOOKUP(L29,$P$1:$P$5,$Q$1:Q$5)))</f>
      </c>
      <c r="U29" s="154">
        <f t="shared" si="31"/>
      </c>
      <c r="V29" s="316">
        <f t="shared" si="2"/>
      </c>
      <c r="W29" s="155">
        <f t="shared" si="26"/>
      </c>
      <c r="X29" s="137">
        <f t="shared" si="3"/>
      </c>
      <c r="Y29" s="60">
        <f t="shared" si="4"/>
      </c>
      <c r="Z29" s="152">
        <f t="shared" si="5"/>
        <v>0</v>
      </c>
      <c r="AA29" s="152">
        <f t="shared" si="6"/>
      </c>
      <c r="AB29" s="60">
        <f t="shared" si="7"/>
      </c>
      <c r="AC29" s="60">
        <f t="shared" si="8"/>
        <v>0</v>
      </c>
      <c r="AD29" s="60">
        <f t="shared" si="9"/>
      </c>
      <c r="AE29" s="153">
        <f t="shared" si="27"/>
      </c>
      <c r="AF29" s="152">
        <f t="shared" si="28"/>
      </c>
      <c r="AG29" s="60">
        <f t="shared" si="10"/>
      </c>
      <c r="AH29" s="155">
        <f t="shared" si="29"/>
      </c>
      <c r="AI29" s="137">
        <f t="shared" si="11"/>
      </c>
      <c r="AJ29" s="60">
        <f t="shared" si="12"/>
      </c>
      <c r="AK29" s="152">
        <f t="shared" si="13"/>
        <v>0</v>
      </c>
      <c r="AL29" s="152">
        <f t="shared" si="14"/>
      </c>
      <c r="AM29" s="60">
        <f t="shared" si="15"/>
      </c>
      <c r="AN29" s="60">
        <f t="shared" si="16"/>
        <v>0</v>
      </c>
      <c r="AO29" s="156">
        <f t="shared" si="17"/>
      </c>
      <c r="AP29" s="153">
        <f t="shared" si="30"/>
      </c>
      <c r="AQ29" s="152">
        <f t="shared" si="18"/>
      </c>
      <c r="AR29" s="157">
        <f t="shared" si="19"/>
      </c>
      <c r="AS29" s="60"/>
    </row>
    <row r="30" spans="1:45" ht="12.75">
      <c r="A30" s="17" t="s">
        <v>71</v>
      </c>
      <c r="B30" s="17"/>
      <c r="C30" s="26"/>
      <c r="D30" s="160"/>
      <c r="E30" s="17"/>
      <c r="F30" s="17"/>
      <c r="G30" s="17"/>
      <c r="H30" s="17"/>
      <c r="I30" s="17"/>
      <c r="J30" s="17"/>
      <c r="K30" s="17"/>
      <c r="L30" s="132">
        <f t="shared" si="20"/>
      </c>
      <c r="M30" s="351">
        <f t="shared" si="0"/>
      </c>
      <c r="N30" s="331">
        <f t="shared" si="1"/>
      </c>
      <c r="O30" s="358">
        <f t="shared" si="21"/>
        <v>0</v>
      </c>
      <c r="P30" s="358">
        <f t="shared" si="22"/>
        <v>0</v>
      </c>
      <c r="Q30" s="331">
        <f t="shared" si="23"/>
      </c>
      <c r="R30" s="349">
        <f t="shared" si="24"/>
        <v>0</v>
      </c>
      <c r="S30" s="349">
        <f t="shared" si="25"/>
      </c>
      <c r="T30" s="153">
        <f>IF(Q30="","",IF(L30&lt;2008,100%,LOOKUP(L30,$P$1:$P$5,$Q$1:Q$5)))</f>
      </c>
      <c r="U30" s="154">
        <f t="shared" si="31"/>
      </c>
      <c r="V30" s="316">
        <f t="shared" si="2"/>
      </c>
      <c r="W30" s="155">
        <f t="shared" si="26"/>
      </c>
      <c r="X30" s="137">
        <f t="shared" si="3"/>
      </c>
      <c r="Y30" s="60">
        <f t="shared" si="4"/>
      </c>
      <c r="Z30" s="152">
        <f t="shared" si="5"/>
        <v>0</v>
      </c>
      <c r="AA30" s="152">
        <f t="shared" si="6"/>
      </c>
      <c r="AB30" s="60">
        <f t="shared" si="7"/>
      </c>
      <c r="AC30" s="60">
        <f t="shared" si="8"/>
        <v>0</v>
      </c>
      <c r="AD30" s="60">
        <f t="shared" si="9"/>
      </c>
      <c r="AE30" s="153">
        <f t="shared" si="27"/>
      </c>
      <c r="AF30" s="152">
        <f t="shared" si="28"/>
      </c>
      <c r="AG30" s="60">
        <f t="shared" si="10"/>
      </c>
      <c r="AH30" s="155">
        <f t="shared" si="29"/>
      </c>
      <c r="AI30" s="137">
        <f t="shared" si="11"/>
      </c>
      <c r="AJ30" s="60">
        <f t="shared" si="12"/>
      </c>
      <c r="AK30" s="152">
        <f t="shared" si="13"/>
        <v>0</v>
      </c>
      <c r="AL30" s="152">
        <f t="shared" si="14"/>
      </c>
      <c r="AM30" s="60">
        <f t="shared" si="15"/>
      </c>
      <c r="AN30" s="60">
        <f t="shared" si="16"/>
        <v>0</v>
      </c>
      <c r="AO30" s="156">
        <f t="shared" si="17"/>
      </c>
      <c r="AP30" s="153">
        <f t="shared" si="30"/>
      </c>
      <c r="AQ30" s="152">
        <f t="shared" si="18"/>
      </c>
      <c r="AR30" s="157">
        <f t="shared" si="19"/>
      </c>
      <c r="AS30" s="60"/>
    </row>
    <row r="31" spans="1:45" ht="12.75">
      <c r="A31" s="17"/>
      <c r="B31" s="17"/>
      <c r="C31" s="161" t="s">
        <v>66</v>
      </c>
      <c r="D31" s="162">
        <f>IF(D30="",ROUND(4.5%*13/4.5,2),ROUND(D30*13/4.5,2))</f>
        <v>0.13</v>
      </c>
      <c r="E31" s="138"/>
      <c r="F31" s="17"/>
      <c r="G31" s="17"/>
      <c r="H31" s="17"/>
      <c r="I31" s="17"/>
      <c r="J31" s="17"/>
      <c r="K31" s="17"/>
      <c r="L31" s="132">
        <f t="shared" si="20"/>
      </c>
      <c r="M31" s="351">
        <f t="shared" si="0"/>
      </c>
      <c r="N31" s="331">
        <f t="shared" si="1"/>
      </c>
      <c r="O31" s="358">
        <f t="shared" si="21"/>
        <v>0</v>
      </c>
      <c r="P31" s="358">
        <f t="shared" si="22"/>
        <v>0</v>
      </c>
      <c r="Q31" s="331">
        <f t="shared" si="23"/>
      </c>
      <c r="R31" s="349">
        <f t="shared" si="24"/>
        <v>0</v>
      </c>
      <c r="S31" s="349">
        <f t="shared" si="25"/>
      </c>
      <c r="T31" s="153">
        <f>IF(Q31="","",IF(L31&lt;2008,100%,LOOKUP(L31,$P$1:$P$5,$Q$1:Q$5)))</f>
      </c>
      <c r="U31" s="154">
        <f t="shared" si="31"/>
      </c>
      <c r="V31" s="316">
        <f t="shared" si="2"/>
      </c>
      <c r="W31" s="155">
        <f t="shared" si="26"/>
      </c>
      <c r="X31" s="137">
        <f t="shared" si="3"/>
      </c>
      <c r="Y31" s="60">
        <f t="shared" si="4"/>
      </c>
      <c r="Z31" s="152">
        <f t="shared" si="5"/>
        <v>0</v>
      </c>
      <c r="AA31" s="152">
        <f t="shared" si="6"/>
      </c>
      <c r="AB31" s="60">
        <f t="shared" si="7"/>
      </c>
      <c r="AC31" s="60">
        <f t="shared" si="8"/>
        <v>0</v>
      </c>
      <c r="AD31" s="60">
        <f t="shared" si="9"/>
      </c>
      <c r="AE31" s="153">
        <f t="shared" si="27"/>
      </c>
      <c r="AF31" s="152">
        <f t="shared" si="28"/>
      </c>
      <c r="AG31" s="60">
        <f t="shared" si="10"/>
      </c>
      <c r="AH31" s="155">
        <f t="shared" si="29"/>
      </c>
      <c r="AI31" s="137">
        <f t="shared" si="11"/>
      </c>
      <c r="AJ31" s="60">
        <f t="shared" si="12"/>
      </c>
      <c r="AK31" s="152">
        <f t="shared" si="13"/>
        <v>0</v>
      </c>
      <c r="AL31" s="152">
        <f t="shared" si="14"/>
      </c>
      <c r="AM31" s="60">
        <f t="shared" si="15"/>
      </c>
      <c r="AN31" s="60">
        <f t="shared" si="16"/>
        <v>0</v>
      </c>
      <c r="AO31" s="156">
        <f t="shared" si="17"/>
      </c>
      <c r="AP31" s="153">
        <f t="shared" si="30"/>
      </c>
      <c r="AQ31" s="152">
        <f t="shared" si="18"/>
      </c>
      <c r="AR31" s="157">
        <f t="shared" si="19"/>
      </c>
      <c r="AS31" s="60"/>
    </row>
    <row r="32" spans="1:45" ht="12.75">
      <c r="A32" s="17"/>
      <c r="B32" s="17"/>
      <c r="C32" s="163" t="s">
        <v>67</v>
      </c>
      <c r="D32" s="164">
        <f>ROUND(D31+55%,2)</f>
        <v>0.68</v>
      </c>
      <c r="E32" s="138"/>
      <c r="F32" s="17"/>
      <c r="G32" s="17"/>
      <c r="H32" s="165"/>
      <c r="I32" s="138"/>
      <c r="J32" s="17"/>
      <c r="K32" s="17"/>
      <c r="L32" s="132">
        <f t="shared" si="20"/>
      </c>
      <c r="M32" s="351">
        <f t="shared" si="0"/>
      </c>
      <c r="N32" s="331">
        <f t="shared" si="1"/>
      </c>
      <c r="O32" s="358">
        <f t="shared" si="21"/>
        <v>0</v>
      </c>
      <c r="P32" s="358">
        <f t="shared" si="22"/>
        <v>0</v>
      </c>
      <c r="Q32" s="331">
        <f t="shared" si="23"/>
      </c>
      <c r="R32" s="349">
        <f t="shared" si="24"/>
        <v>0</v>
      </c>
      <c r="S32" s="349">
        <f t="shared" si="25"/>
      </c>
      <c r="T32" s="153">
        <f>IF(Q32="","",IF(L32&lt;2008,100%,LOOKUP(L32,$P$1:$P$5,$Q$1:Q$5)))</f>
      </c>
      <c r="U32" s="154">
        <f t="shared" si="31"/>
      </c>
      <c r="V32" s="316">
        <f t="shared" si="2"/>
      </c>
      <c r="W32" s="155">
        <f t="shared" si="26"/>
      </c>
      <c r="X32" s="137">
        <f t="shared" si="3"/>
      </c>
      <c r="Y32" s="60">
        <f t="shared" si="4"/>
      </c>
      <c r="Z32" s="152">
        <f t="shared" si="5"/>
        <v>0</v>
      </c>
      <c r="AA32" s="152">
        <f t="shared" si="6"/>
      </c>
      <c r="AB32" s="60">
        <f t="shared" si="7"/>
      </c>
      <c r="AC32" s="60">
        <f t="shared" si="8"/>
        <v>0</v>
      </c>
      <c r="AD32" s="60">
        <f t="shared" si="9"/>
      </c>
      <c r="AE32" s="153">
        <f t="shared" si="27"/>
      </c>
      <c r="AF32" s="152">
        <f t="shared" si="28"/>
      </c>
      <c r="AG32" s="60">
        <f t="shared" si="10"/>
      </c>
      <c r="AH32" s="155">
        <f t="shared" si="29"/>
      </c>
      <c r="AI32" s="137">
        <f t="shared" si="11"/>
      </c>
      <c r="AJ32" s="60">
        <f t="shared" si="12"/>
      </c>
      <c r="AK32" s="152">
        <f t="shared" si="13"/>
        <v>0</v>
      </c>
      <c r="AL32" s="152">
        <f t="shared" si="14"/>
      </c>
      <c r="AM32" s="60">
        <f t="shared" si="15"/>
      </c>
      <c r="AN32" s="60">
        <f t="shared" si="16"/>
        <v>0</v>
      </c>
      <c r="AO32" s="156">
        <f t="shared" si="17"/>
      </c>
      <c r="AP32" s="153">
        <f t="shared" si="30"/>
      </c>
      <c r="AQ32" s="152">
        <f t="shared" si="18"/>
      </c>
      <c r="AR32" s="157">
        <f t="shared" si="19"/>
      </c>
      <c r="AS32" s="60"/>
    </row>
    <row r="33" spans="1:45" ht="12.75">
      <c r="A33" s="17"/>
      <c r="B33" s="17"/>
      <c r="C33" s="17"/>
      <c r="D33" s="17"/>
      <c r="E33" s="138"/>
      <c r="F33" s="17"/>
      <c r="G33" s="17"/>
      <c r="H33" s="165"/>
      <c r="I33" s="138"/>
      <c r="J33" s="17"/>
      <c r="K33" s="17"/>
      <c r="L33" s="132">
        <f t="shared" si="20"/>
      </c>
      <c r="M33" s="351">
        <f t="shared" si="0"/>
      </c>
      <c r="N33" s="331">
        <f t="shared" si="1"/>
      </c>
      <c r="O33" s="358">
        <f t="shared" si="21"/>
        <v>0</v>
      </c>
      <c r="P33" s="358">
        <f t="shared" si="22"/>
        <v>0</v>
      </c>
      <c r="Q33" s="331">
        <f t="shared" si="23"/>
      </c>
      <c r="R33" s="349">
        <f t="shared" si="24"/>
        <v>0</v>
      </c>
      <c r="S33" s="349">
        <f t="shared" si="25"/>
      </c>
      <c r="T33" s="153">
        <f>IF(Q33="","",IF(L33&lt;2008,100%,LOOKUP(L33,$P$1:$P$5,$Q$1:Q$5)))</f>
      </c>
      <c r="U33" s="154">
        <f t="shared" si="31"/>
      </c>
      <c r="V33" s="316">
        <f t="shared" si="2"/>
      </c>
      <c r="W33" s="155">
        <f t="shared" si="26"/>
      </c>
      <c r="X33" s="137">
        <f t="shared" si="3"/>
      </c>
      <c r="Y33" s="60">
        <f t="shared" si="4"/>
      </c>
      <c r="Z33" s="152">
        <f t="shared" si="5"/>
        <v>0</v>
      </c>
      <c r="AA33" s="152">
        <f t="shared" si="6"/>
      </c>
      <c r="AB33" s="60">
        <f t="shared" si="7"/>
      </c>
      <c r="AC33" s="60">
        <f t="shared" si="8"/>
        <v>0</v>
      </c>
      <c r="AD33" s="60">
        <f t="shared" si="9"/>
      </c>
      <c r="AE33" s="153">
        <f t="shared" si="27"/>
      </c>
      <c r="AF33" s="152">
        <f t="shared" si="28"/>
      </c>
      <c r="AG33" s="60">
        <f t="shared" si="10"/>
      </c>
      <c r="AH33" s="155">
        <f t="shared" si="29"/>
      </c>
      <c r="AI33" s="137">
        <f t="shared" si="11"/>
      </c>
      <c r="AJ33" s="60">
        <f t="shared" si="12"/>
      </c>
      <c r="AK33" s="152">
        <f t="shared" si="13"/>
        <v>0</v>
      </c>
      <c r="AL33" s="152">
        <f t="shared" si="14"/>
      </c>
      <c r="AM33" s="60">
        <f t="shared" si="15"/>
      </c>
      <c r="AN33" s="60">
        <f t="shared" si="16"/>
        <v>0</v>
      </c>
      <c r="AO33" s="156">
        <f t="shared" si="17"/>
      </c>
      <c r="AP33" s="153">
        <f t="shared" si="30"/>
      </c>
      <c r="AQ33" s="152">
        <f t="shared" si="18"/>
      </c>
      <c r="AR33" s="157">
        <f t="shared" si="19"/>
      </c>
      <c r="AS33" s="60"/>
    </row>
    <row r="34" spans="1:45" ht="12.75">
      <c r="A34" s="166"/>
      <c r="B34" s="44"/>
      <c r="C34" s="44"/>
      <c r="D34" s="167" t="s">
        <v>58</v>
      </c>
      <c r="E34" s="17"/>
      <c r="F34" s="17"/>
      <c r="G34" s="17"/>
      <c r="H34" s="165"/>
      <c r="I34" s="138"/>
      <c r="J34" s="17"/>
      <c r="K34" s="17"/>
      <c r="L34" s="132">
        <f t="shared" si="20"/>
      </c>
      <c r="M34" s="351">
        <f t="shared" si="0"/>
      </c>
      <c r="N34" s="331">
        <f t="shared" si="1"/>
      </c>
      <c r="O34" s="358">
        <f t="shared" si="21"/>
        <v>0</v>
      </c>
      <c r="P34" s="358">
        <f t="shared" si="22"/>
        <v>0</v>
      </c>
      <c r="Q34" s="331">
        <f t="shared" si="23"/>
      </c>
      <c r="R34" s="349">
        <f t="shared" si="24"/>
        <v>0</v>
      </c>
      <c r="S34" s="349">
        <f t="shared" si="25"/>
      </c>
      <c r="T34" s="153">
        <f>IF(Q34="","",IF(L34&lt;2008,100%,LOOKUP(L34,$P$1:$P$5,$Q$1:Q$5)))</f>
      </c>
      <c r="U34" s="154">
        <f t="shared" si="31"/>
      </c>
      <c r="V34" s="316">
        <f t="shared" si="2"/>
      </c>
      <c r="W34" s="155">
        <f t="shared" si="26"/>
      </c>
      <c r="X34" s="137">
        <f t="shared" si="3"/>
      </c>
      <c r="Y34" s="60">
        <f t="shared" si="4"/>
      </c>
      <c r="Z34" s="152">
        <f t="shared" si="5"/>
        <v>0</v>
      </c>
      <c r="AA34" s="152">
        <f t="shared" si="6"/>
      </c>
      <c r="AB34" s="60">
        <f t="shared" si="7"/>
      </c>
      <c r="AC34" s="60">
        <f t="shared" si="8"/>
        <v>0</v>
      </c>
      <c r="AD34" s="60">
        <f t="shared" si="9"/>
      </c>
      <c r="AE34" s="153">
        <f t="shared" si="27"/>
      </c>
      <c r="AF34" s="152">
        <f t="shared" si="28"/>
      </c>
      <c r="AG34" s="60">
        <f t="shared" si="10"/>
      </c>
      <c r="AH34" s="155">
        <f t="shared" si="29"/>
      </c>
      <c r="AI34" s="137">
        <f t="shared" si="11"/>
      </c>
      <c r="AJ34" s="60">
        <f t="shared" si="12"/>
      </c>
      <c r="AK34" s="152">
        <f t="shared" si="13"/>
        <v>0</v>
      </c>
      <c r="AL34" s="152">
        <f t="shared" si="14"/>
      </c>
      <c r="AM34" s="60">
        <f t="shared" si="15"/>
      </c>
      <c r="AN34" s="60">
        <f t="shared" si="16"/>
        <v>0</v>
      </c>
      <c r="AO34" s="156">
        <f t="shared" si="17"/>
      </c>
      <c r="AP34" s="153">
        <f t="shared" si="30"/>
      </c>
      <c r="AQ34" s="152">
        <f t="shared" si="18"/>
      </c>
      <c r="AR34" s="157">
        <f t="shared" si="19"/>
      </c>
      <c r="AS34" s="60"/>
    </row>
    <row r="35" spans="1:45" ht="12.75">
      <c r="A35" s="17" t="s">
        <v>70</v>
      </c>
      <c r="B35" s="17"/>
      <c r="C35" s="26"/>
      <c r="D35" s="158"/>
      <c r="E35" s="17"/>
      <c r="F35" s="17"/>
      <c r="G35" s="17"/>
      <c r="H35" s="165"/>
      <c r="I35" s="138"/>
      <c r="J35" s="17"/>
      <c r="K35" s="17"/>
      <c r="L35" s="132">
        <f t="shared" si="20"/>
      </c>
      <c r="M35" s="351">
        <f t="shared" si="0"/>
      </c>
      <c r="N35" s="331">
        <f t="shared" si="1"/>
      </c>
      <c r="O35" s="358">
        <f t="shared" si="21"/>
        <v>0</v>
      </c>
      <c r="P35" s="358">
        <f t="shared" si="22"/>
        <v>0</v>
      </c>
      <c r="Q35" s="331">
        <f t="shared" si="23"/>
      </c>
      <c r="R35" s="349">
        <f t="shared" si="24"/>
        <v>0</v>
      </c>
      <c r="S35" s="349">
        <f t="shared" si="25"/>
      </c>
      <c r="T35" s="153">
        <f>IF(Q35="","",IF(L35&lt;2008,100%,LOOKUP(L35,$P$1:$P$5,$Q$1:Q$5)))</f>
      </c>
      <c r="U35" s="154">
        <f t="shared" si="31"/>
      </c>
      <c r="V35" s="316">
        <f t="shared" si="2"/>
      </c>
      <c r="W35" s="155">
        <f t="shared" si="26"/>
      </c>
      <c r="X35" s="137">
        <f t="shared" si="3"/>
      </c>
      <c r="Y35" s="60">
        <f t="shared" si="4"/>
      </c>
      <c r="Z35" s="152">
        <f t="shared" si="5"/>
        <v>0</v>
      </c>
      <c r="AA35" s="152">
        <f t="shared" si="6"/>
      </c>
      <c r="AB35" s="60">
        <f t="shared" si="7"/>
      </c>
      <c r="AC35" s="60">
        <f t="shared" si="8"/>
        <v>0</v>
      </c>
      <c r="AD35" s="60">
        <f t="shared" si="9"/>
      </c>
      <c r="AE35" s="153">
        <f t="shared" si="27"/>
      </c>
      <c r="AF35" s="152">
        <f t="shared" si="28"/>
      </c>
      <c r="AG35" s="60">
        <f t="shared" si="10"/>
      </c>
      <c r="AH35" s="155">
        <f t="shared" si="29"/>
      </c>
      <c r="AI35" s="137">
        <f t="shared" si="11"/>
      </c>
      <c r="AJ35" s="60">
        <f t="shared" si="12"/>
      </c>
      <c r="AK35" s="152">
        <f t="shared" si="13"/>
        <v>0</v>
      </c>
      <c r="AL35" s="152">
        <f t="shared" si="14"/>
      </c>
      <c r="AM35" s="60">
        <f t="shared" si="15"/>
      </c>
      <c r="AN35" s="60">
        <f t="shared" si="16"/>
        <v>0</v>
      </c>
      <c r="AO35" s="156">
        <f t="shared" si="17"/>
      </c>
      <c r="AP35" s="153">
        <f t="shared" si="30"/>
      </c>
      <c r="AQ35" s="152">
        <f t="shared" si="18"/>
      </c>
      <c r="AR35" s="157">
        <f t="shared" si="19"/>
      </c>
      <c r="AS35" s="60"/>
    </row>
    <row r="36" spans="1:45" ht="12.75">
      <c r="A36" s="17" t="s">
        <v>71</v>
      </c>
      <c r="B36" s="17"/>
      <c r="C36" s="26"/>
      <c r="D36" s="160"/>
      <c r="E36" s="17"/>
      <c r="F36" s="17"/>
      <c r="G36" s="17"/>
      <c r="H36" s="165"/>
      <c r="I36" s="138"/>
      <c r="J36" s="17"/>
      <c r="K36" s="17"/>
      <c r="L36" s="132">
        <f t="shared" si="20"/>
      </c>
      <c r="M36" s="351">
        <f t="shared" si="0"/>
      </c>
      <c r="N36" s="331">
        <f t="shared" si="1"/>
      </c>
      <c r="O36" s="358">
        <f t="shared" si="21"/>
        <v>0</v>
      </c>
      <c r="P36" s="358">
        <f t="shared" si="22"/>
        <v>0</v>
      </c>
      <c r="Q36" s="331">
        <f t="shared" si="23"/>
      </c>
      <c r="R36" s="349">
        <f t="shared" si="24"/>
        <v>0</v>
      </c>
      <c r="S36" s="349">
        <f t="shared" si="25"/>
      </c>
      <c r="T36" s="153">
        <f>IF(Q36="","",IF(L36&lt;2008,100%,LOOKUP(L36,$P$1:$P$5,$Q$1:Q$5)))</f>
      </c>
      <c r="U36" s="154">
        <f t="shared" si="31"/>
      </c>
      <c r="V36" s="316">
        <f t="shared" si="2"/>
      </c>
      <c r="W36" s="155">
        <f t="shared" si="26"/>
      </c>
      <c r="X36" s="137">
        <f t="shared" si="3"/>
      </c>
      <c r="Y36" s="60">
        <f t="shared" si="4"/>
      </c>
      <c r="Z36" s="152">
        <f t="shared" si="5"/>
        <v>0</v>
      </c>
      <c r="AA36" s="152">
        <f t="shared" si="6"/>
      </c>
      <c r="AB36" s="60">
        <f t="shared" si="7"/>
      </c>
      <c r="AC36" s="60">
        <f t="shared" si="8"/>
        <v>0</v>
      </c>
      <c r="AD36" s="60">
        <f t="shared" si="9"/>
      </c>
      <c r="AE36" s="153">
        <f t="shared" si="27"/>
      </c>
      <c r="AF36" s="152">
        <f t="shared" si="28"/>
      </c>
      <c r="AG36" s="60">
        <f t="shared" si="10"/>
      </c>
      <c r="AH36" s="155">
        <f t="shared" si="29"/>
      </c>
      <c r="AI36" s="137">
        <f t="shared" si="11"/>
      </c>
      <c r="AJ36" s="60">
        <f t="shared" si="12"/>
      </c>
      <c r="AK36" s="152">
        <f t="shared" si="13"/>
        <v>0</v>
      </c>
      <c r="AL36" s="152">
        <f t="shared" si="14"/>
      </c>
      <c r="AM36" s="60">
        <f t="shared" si="15"/>
      </c>
      <c r="AN36" s="60">
        <f t="shared" si="16"/>
        <v>0</v>
      </c>
      <c r="AO36" s="156">
        <f t="shared" si="17"/>
      </c>
      <c r="AP36" s="153">
        <f t="shared" si="30"/>
      </c>
      <c r="AQ36" s="152">
        <f t="shared" si="18"/>
      </c>
      <c r="AR36" s="157">
        <f t="shared" si="19"/>
      </c>
      <c r="AS36" s="60"/>
    </row>
    <row r="37" spans="1:45" ht="12.75">
      <c r="A37" s="17"/>
      <c r="B37" s="17"/>
      <c r="C37" s="161" t="s">
        <v>66</v>
      </c>
      <c r="D37" s="162">
        <f>IF(D36="",ROUND(4.5%*13/4.5,2),ROUND(D36*13/4.5,2))</f>
        <v>0.13</v>
      </c>
      <c r="E37" s="17"/>
      <c r="F37" s="17"/>
      <c r="G37" s="17"/>
      <c r="H37" s="165"/>
      <c r="I37" s="138"/>
      <c r="J37" s="17"/>
      <c r="K37" s="17"/>
      <c r="L37" s="132">
        <f t="shared" si="20"/>
      </c>
      <c r="M37" s="351">
        <f t="shared" si="0"/>
      </c>
      <c r="N37" s="331">
        <f t="shared" si="1"/>
      </c>
      <c r="O37" s="358">
        <f t="shared" si="21"/>
        <v>0</v>
      </c>
      <c r="P37" s="358">
        <f t="shared" si="22"/>
        <v>0</v>
      </c>
      <c r="Q37" s="331">
        <f t="shared" si="23"/>
      </c>
      <c r="R37" s="349">
        <f t="shared" si="24"/>
        <v>0</v>
      </c>
      <c r="S37" s="349">
        <f t="shared" si="25"/>
      </c>
      <c r="T37" s="153">
        <f>IF(Q37="","",IF(L37&lt;2008,100%,LOOKUP(L37,$P$1:$P$5,$Q$1:Q$5)))</f>
      </c>
      <c r="U37" s="154">
        <f t="shared" si="31"/>
      </c>
      <c r="V37" s="316">
        <f t="shared" si="2"/>
      </c>
      <c r="W37" s="155">
        <f t="shared" si="26"/>
      </c>
      <c r="X37" s="137">
        <f t="shared" si="3"/>
      </c>
      <c r="Y37" s="60">
        <f t="shared" si="4"/>
      </c>
      <c r="Z37" s="152">
        <f t="shared" si="5"/>
        <v>0</v>
      </c>
      <c r="AA37" s="152">
        <f t="shared" si="6"/>
      </c>
      <c r="AB37" s="60">
        <f t="shared" si="7"/>
      </c>
      <c r="AC37" s="60">
        <f t="shared" si="8"/>
        <v>0</v>
      </c>
      <c r="AD37" s="60">
        <f t="shared" si="9"/>
      </c>
      <c r="AE37" s="153">
        <f t="shared" si="27"/>
      </c>
      <c r="AF37" s="152">
        <f t="shared" si="28"/>
      </c>
      <c r="AG37" s="60">
        <f t="shared" si="10"/>
      </c>
      <c r="AH37" s="155">
        <f t="shared" si="29"/>
      </c>
      <c r="AI37" s="137">
        <f t="shared" si="11"/>
      </c>
      <c r="AJ37" s="60">
        <f t="shared" si="12"/>
      </c>
      <c r="AK37" s="152">
        <f t="shared" si="13"/>
        <v>0</v>
      </c>
      <c r="AL37" s="152">
        <f t="shared" si="14"/>
      </c>
      <c r="AM37" s="60">
        <f t="shared" si="15"/>
      </c>
      <c r="AN37" s="60">
        <f t="shared" si="16"/>
        <v>0</v>
      </c>
      <c r="AO37" s="156">
        <f t="shared" si="17"/>
      </c>
      <c r="AP37" s="153">
        <f t="shared" si="30"/>
      </c>
      <c r="AQ37" s="152">
        <f t="shared" si="18"/>
      </c>
      <c r="AR37" s="157">
        <f t="shared" si="19"/>
      </c>
      <c r="AS37" s="60"/>
    </row>
    <row r="38" spans="1:45" ht="12.75">
      <c r="A38" s="17"/>
      <c r="B38" s="17"/>
      <c r="C38" s="163" t="s">
        <v>67</v>
      </c>
      <c r="D38" s="164">
        <f>ROUND(D37+55%,2)</f>
        <v>0.68</v>
      </c>
      <c r="E38" s="17"/>
      <c r="F38" s="17"/>
      <c r="G38" s="17"/>
      <c r="H38" s="165"/>
      <c r="I38" s="138"/>
      <c r="J38" s="17"/>
      <c r="K38" s="17"/>
      <c r="L38" s="132">
        <f t="shared" si="20"/>
      </c>
      <c r="M38" s="351">
        <f t="shared" si="0"/>
      </c>
      <c r="N38" s="331">
        <f t="shared" si="1"/>
      </c>
      <c r="O38" s="358">
        <f t="shared" si="21"/>
        <v>0</v>
      </c>
      <c r="P38" s="358">
        <f t="shared" si="22"/>
        <v>0</v>
      </c>
      <c r="Q38" s="331">
        <f t="shared" si="23"/>
      </c>
      <c r="R38" s="349">
        <f t="shared" si="24"/>
        <v>0</v>
      </c>
      <c r="S38" s="349">
        <f t="shared" si="25"/>
      </c>
      <c r="T38" s="153">
        <f>IF(Q38="","",IF(L38&lt;2008,100%,LOOKUP(L38,$P$1:$P$5,$Q$1:Q$5)))</f>
      </c>
      <c r="U38" s="154">
        <f t="shared" si="31"/>
      </c>
      <c r="V38" s="316">
        <f t="shared" si="2"/>
      </c>
      <c r="W38" s="155">
        <f t="shared" si="26"/>
      </c>
      <c r="X38" s="137">
        <f t="shared" si="3"/>
      </c>
      <c r="Y38" s="60">
        <f t="shared" si="4"/>
      </c>
      <c r="Z38" s="152">
        <f t="shared" si="5"/>
        <v>0</v>
      </c>
      <c r="AA38" s="152">
        <f t="shared" si="6"/>
      </c>
      <c r="AB38" s="60">
        <f t="shared" si="7"/>
      </c>
      <c r="AC38" s="60">
        <f t="shared" si="8"/>
        <v>0</v>
      </c>
      <c r="AD38" s="60">
        <f t="shared" si="9"/>
      </c>
      <c r="AE38" s="153">
        <f t="shared" si="27"/>
      </c>
      <c r="AF38" s="152">
        <f t="shared" si="28"/>
      </c>
      <c r="AG38" s="60">
        <f t="shared" si="10"/>
      </c>
      <c r="AH38" s="155">
        <f t="shared" si="29"/>
      </c>
      <c r="AI38" s="137">
        <f t="shared" si="11"/>
      </c>
      <c r="AJ38" s="60">
        <f t="shared" si="12"/>
      </c>
      <c r="AK38" s="152">
        <f t="shared" si="13"/>
        <v>0</v>
      </c>
      <c r="AL38" s="152">
        <f t="shared" si="14"/>
      </c>
      <c r="AM38" s="60">
        <f t="shared" si="15"/>
      </c>
      <c r="AN38" s="60">
        <f t="shared" si="16"/>
        <v>0</v>
      </c>
      <c r="AO38" s="156">
        <f t="shared" si="17"/>
      </c>
      <c r="AP38" s="153">
        <f t="shared" si="30"/>
      </c>
      <c r="AQ38" s="152">
        <f t="shared" si="18"/>
      </c>
      <c r="AR38" s="157">
        <f t="shared" si="19"/>
      </c>
      <c r="AS38" s="60"/>
    </row>
    <row r="39" spans="1:45" ht="12.75">
      <c r="A39" s="17"/>
      <c r="B39" s="17"/>
      <c r="C39" s="17"/>
      <c r="D39" s="17"/>
      <c r="E39" s="17"/>
      <c r="F39" s="17"/>
      <c r="G39" s="17"/>
      <c r="H39" s="165"/>
      <c r="I39" s="138"/>
      <c r="J39" s="17"/>
      <c r="K39" s="17"/>
      <c r="L39" s="132">
        <f t="shared" si="20"/>
      </c>
      <c r="M39" s="351">
        <f t="shared" si="0"/>
      </c>
      <c r="N39" s="331">
        <f t="shared" si="1"/>
      </c>
      <c r="O39" s="358">
        <f t="shared" si="21"/>
        <v>0</v>
      </c>
      <c r="P39" s="358">
        <f t="shared" si="22"/>
        <v>0</v>
      </c>
      <c r="Q39" s="331">
        <f t="shared" si="23"/>
      </c>
      <c r="R39" s="349">
        <f t="shared" si="24"/>
        <v>0</v>
      </c>
      <c r="S39" s="349">
        <f t="shared" si="25"/>
      </c>
      <c r="T39" s="153">
        <f>IF(Q39="","",IF(L39&lt;2008,100%,LOOKUP(L39,$P$1:$P$5,$Q$1:Q$5)))</f>
      </c>
      <c r="U39" s="154">
        <f t="shared" si="31"/>
      </c>
      <c r="V39" s="316">
        <f t="shared" si="2"/>
      </c>
      <c r="W39" s="155">
        <f t="shared" si="26"/>
      </c>
      <c r="X39" s="137">
        <f t="shared" si="3"/>
      </c>
      <c r="Y39" s="60">
        <f t="shared" si="4"/>
      </c>
      <c r="Z39" s="152">
        <f t="shared" si="5"/>
        <v>0</v>
      </c>
      <c r="AA39" s="152">
        <f t="shared" si="6"/>
      </c>
      <c r="AB39" s="60">
        <f t="shared" si="7"/>
      </c>
      <c r="AC39" s="60">
        <f t="shared" si="8"/>
        <v>0</v>
      </c>
      <c r="AD39" s="60">
        <f t="shared" si="9"/>
      </c>
      <c r="AE39" s="153">
        <f t="shared" si="27"/>
      </c>
      <c r="AF39" s="152">
        <f t="shared" si="28"/>
      </c>
      <c r="AG39" s="60">
        <f t="shared" si="10"/>
      </c>
      <c r="AH39" s="155">
        <f t="shared" si="29"/>
      </c>
      <c r="AI39" s="137">
        <f t="shared" si="11"/>
      </c>
      <c r="AJ39" s="60">
        <f t="shared" si="12"/>
      </c>
      <c r="AK39" s="152">
        <f t="shared" si="13"/>
        <v>0</v>
      </c>
      <c r="AL39" s="152">
        <f t="shared" si="14"/>
      </c>
      <c r="AM39" s="60">
        <f t="shared" si="15"/>
      </c>
      <c r="AN39" s="60">
        <f t="shared" si="16"/>
        <v>0</v>
      </c>
      <c r="AO39" s="156">
        <f t="shared" si="17"/>
      </c>
      <c r="AP39" s="153">
        <f t="shared" si="30"/>
      </c>
      <c r="AQ39" s="152">
        <f t="shared" si="18"/>
      </c>
      <c r="AR39" s="157">
        <f t="shared" si="19"/>
      </c>
      <c r="AS39" s="60"/>
    </row>
    <row r="40" spans="1:45" ht="12.75">
      <c r="A40" s="17"/>
      <c r="B40" s="17"/>
      <c r="C40" s="17"/>
      <c r="D40" s="17"/>
      <c r="E40" s="17"/>
      <c r="F40" s="17"/>
      <c r="G40" s="17"/>
      <c r="H40" s="165"/>
      <c r="I40" s="138"/>
      <c r="J40" s="17"/>
      <c r="K40" s="17"/>
      <c r="L40" s="132">
        <f t="shared" si="20"/>
      </c>
      <c r="M40" s="351">
        <f t="shared" si="0"/>
      </c>
      <c r="N40" s="331">
        <f t="shared" si="1"/>
      </c>
      <c r="O40" s="358">
        <f t="shared" si="21"/>
        <v>0</v>
      </c>
      <c r="P40" s="358">
        <f t="shared" si="22"/>
        <v>0</v>
      </c>
      <c r="Q40" s="331">
        <f t="shared" si="23"/>
      </c>
      <c r="R40" s="349">
        <f t="shared" si="24"/>
        <v>0</v>
      </c>
      <c r="S40" s="349">
        <f t="shared" si="25"/>
      </c>
      <c r="T40" s="153">
        <f>IF(Q40="","",IF(L40&lt;2008,100%,LOOKUP(L40,$P$1:$P$5,$Q$1:Q$5)))</f>
      </c>
      <c r="U40" s="154">
        <f t="shared" si="31"/>
      </c>
      <c r="V40" s="316">
        <f t="shared" si="2"/>
      </c>
      <c r="W40" s="155">
        <f t="shared" si="26"/>
      </c>
      <c r="X40" s="137">
        <f t="shared" si="3"/>
      </c>
      <c r="Y40" s="60">
        <f t="shared" si="4"/>
      </c>
      <c r="Z40" s="152">
        <f t="shared" si="5"/>
        <v>0</v>
      </c>
      <c r="AA40" s="152">
        <f t="shared" si="6"/>
      </c>
      <c r="AB40" s="60">
        <f t="shared" si="7"/>
      </c>
      <c r="AC40" s="60">
        <f t="shared" si="8"/>
        <v>0</v>
      </c>
      <c r="AD40" s="60">
        <f t="shared" si="9"/>
      </c>
      <c r="AE40" s="153">
        <f t="shared" si="27"/>
      </c>
      <c r="AF40" s="152">
        <f t="shared" si="28"/>
      </c>
      <c r="AG40" s="60">
        <f t="shared" si="10"/>
      </c>
      <c r="AH40" s="155">
        <f t="shared" si="29"/>
      </c>
      <c r="AI40" s="137">
        <f t="shared" si="11"/>
      </c>
      <c r="AJ40" s="60">
        <f t="shared" si="12"/>
      </c>
      <c r="AK40" s="152">
        <f t="shared" si="13"/>
        <v>0</v>
      </c>
      <c r="AL40" s="152">
        <f t="shared" si="14"/>
      </c>
      <c r="AM40" s="60">
        <f t="shared" si="15"/>
      </c>
      <c r="AN40" s="60">
        <f t="shared" si="16"/>
        <v>0</v>
      </c>
      <c r="AO40" s="156">
        <f t="shared" si="17"/>
      </c>
      <c r="AP40" s="153">
        <f t="shared" si="30"/>
      </c>
      <c r="AQ40" s="152">
        <f t="shared" si="18"/>
      </c>
      <c r="AR40" s="157">
        <f t="shared" si="19"/>
      </c>
      <c r="AS40" s="60"/>
    </row>
    <row r="41" spans="1:45" ht="12.75">
      <c r="A41" s="17"/>
      <c r="B41" s="17"/>
      <c r="C41" s="17"/>
      <c r="D41" s="45" t="s">
        <v>52</v>
      </c>
      <c r="E41" s="138"/>
      <c r="F41" s="168">
        <f>SUM(AG43)</f>
        <v>0</v>
      </c>
      <c r="G41" s="17"/>
      <c r="H41" s="165"/>
      <c r="I41" s="138"/>
      <c r="J41" s="17"/>
      <c r="K41" s="17"/>
      <c r="L41" s="132">
        <f t="shared" si="20"/>
      </c>
      <c r="M41" s="351">
        <f t="shared" si="0"/>
      </c>
      <c r="N41" s="331">
        <f t="shared" si="1"/>
      </c>
      <c r="O41" s="358">
        <f t="shared" si="21"/>
        <v>0</v>
      </c>
      <c r="P41" s="358">
        <f t="shared" si="22"/>
        <v>0</v>
      </c>
      <c r="Q41" s="331">
        <f t="shared" si="23"/>
      </c>
      <c r="R41" s="349">
        <f t="shared" si="24"/>
        <v>0</v>
      </c>
      <c r="S41" s="349">
        <f t="shared" si="25"/>
      </c>
      <c r="T41" s="153">
        <f>IF(Q41="","",IF(L41&lt;2008,100%,LOOKUP(L41,$P$1:$P$5,$Q$1:Q$5)))</f>
      </c>
      <c r="U41" s="154">
        <f t="shared" si="31"/>
      </c>
      <c r="V41" s="316">
        <f t="shared" si="2"/>
      </c>
      <c r="W41" s="155">
        <f t="shared" si="26"/>
      </c>
      <c r="X41" s="137">
        <f t="shared" si="3"/>
      </c>
      <c r="Y41" s="60">
        <f t="shared" si="4"/>
      </c>
      <c r="Z41" s="152">
        <f t="shared" si="5"/>
        <v>0</v>
      </c>
      <c r="AA41" s="152">
        <f t="shared" si="6"/>
      </c>
      <c r="AB41" s="60">
        <f t="shared" si="7"/>
      </c>
      <c r="AC41" s="60">
        <f t="shared" si="8"/>
        <v>0</v>
      </c>
      <c r="AD41" s="60">
        <f t="shared" si="9"/>
      </c>
      <c r="AE41" s="153">
        <f t="shared" si="27"/>
      </c>
      <c r="AF41" s="152">
        <f t="shared" si="28"/>
      </c>
      <c r="AG41" s="60">
        <f t="shared" si="10"/>
      </c>
      <c r="AH41" s="155">
        <f t="shared" si="29"/>
      </c>
      <c r="AI41" s="137">
        <f t="shared" si="11"/>
      </c>
      <c r="AJ41" s="60">
        <f t="shared" si="12"/>
      </c>
      <c r="AK41" s="152">
        <f t="shared" si="13"/>
        <v>0</v>
      </c>
      <c r="AL41" s="152">
        <f t="shared" si="14"/>
      </c>
      <c r="AM41" s="60">
        <f t="shared" si="15"/>
      </c>
      <c r="AN41" s="60">
        <f t="shared" si="16"/>
        <v>0</v>
      </c>
      <c r="AO41" s="156">
        <f t="shared" si="17"/>
      </c>
      <c r="AP41" s="153">
        <f t="shared" si="30"/>
      </c>
      <c r="AQ41" s="152">
        <f t="shared" si="18"/>
      </c>
      <c r="AR41" s="157">
        <f t="shared" si="19"/>
      </c>
      <c r="AS41" s="60"/>
    </row>
    <row r="42" spans="1:45" ht="13.5" thickBot="1">
      <c r="A42" s="17"/>
      <c r="B42" s="17"/>
      <c r="C42" s="17"/>
      <c r="D42" s="45" t="s">
        <v>47</v>
      </c>
      <c r="E42" s="138"/>
      <c r="F42" s="168">
        <f>SUM(V43)</f>
        <v>0</v>
      </c>
      <c r="G42" s="329"/>
      <c r="H42" s="329"/>
      <c r="I42" s="330"/>
      <c r="J42" s="329"/>
      <c r="K42" s="31"/>
      <c r="L42" s="132">
        <f t="shared" si="20"/>
      </c>
      <c r="M42" s="351"/>
      <c r="N42" s="331">
        <f t="shared" si="1"/>
      </c>
      <c r="O42" s="358">
        <f t="shared" si="21"/>
        <v>0</v>
      </c>
      <c r="P42" s="358">
        <f t="shared" si="22"/>
        <v>0</v>
      </c>
      <c r="Q42" s="331">
        <f t="shared" si="23"/>
      </c>
      <c r="R42" s="349">
        <f t="shared" si="24"/>
        <v>0</v>
      </c>
      <c r="S42" s="359">
        <f t="shared" si="25"/>
      </c>
      <c r="T42" s="153">
        <f>IF(Q42="","",IF(L42&lt;2008,100%,LOOKUP(L42,$P$1:$P$5,$Q$1:Q$5)))</f>
      </c>
      <c r="U42" s="171">
        <f t="shared" si="31"/>
      </c>
      <c r="V42" s="316">
        <f t="shared" si="2"/>
      </c>
      <c r="W42" s="155">
        <f t="shared" si="26"/>
      </c>
      <c r="X42" s="137" t="str">
        <f>IF(L42=$F$12,"1:a Inkf",IF(L42=$F$13,"fastst.år",""))</f>
        <v>1:a Inkf</v>
      </c>
      <c r="Y42" s="60">
        <f t="shared" si="4"/>
      </c>
      <c r="Z42" s="152">
        <f t="shared" si="5"/>
        <v>0</v>
      </c>
      <c r="AA42" s="152">
        <f t="shared" si="6"/>
      </c>
      <c r="AB42" s="60">
        <f t="shared" si="7"/>
      </c>
      <c r="AC42" s="60">
        <f t="shared" si="8"/>
        <v>0</v>
      </c>
      <c r="AD42" s="60">
        <f t="shared" si="9"/>
      </c>
      <c r="AE42" s="153">
        <f t="shared" si="27"/>
      </c>
      <c r="AF42" s="152">
        <f t="shared" si="28"/>
      </c>
      <c r="AG42" s="60">
        <f t="shared" si="10"/>
      </c>
      <c r="AH42" s="155">
        <f t="shared" si="29"/>
      </c>
      <c r="AI42" s="137" t="str">
        <f>IF(W42=$F$12,"1:a Inkf",IF(W42=$F$13,"fastst.år",""))</f>
        <v>1:a Inkf</v>
      </c>
      <c r="AJ42" s="60">
        <f t="shared" si="12"/>
      </c>
      <c r="AK42" s="152">
        <f t="shared" si="13"/>
        <v>0</v>
      </c>
      <c r="AL42" s="152">
        <f t="shared" si="14"/>
      </c>
      <c r="AM42" s="60">
        <f t="shared" si="15"/>
      </c>
      <c r="AN42" s="60">
        <f t="shared" si="16"/>
        <v>0</v>
      </c>
      <c r="AO42" s="156">
        <f t="shared" si="17"/>
      </c>
      <c r="AP42" s="153">
        <f t="shared" si="30"/>
      </c>
      <c r="AQ42" s="152">
        <f t="shared" si="18"/>
      </c>
      <c r="AR42" s="157">
        <f t="shared" si="19"/>
      </c>
      <c r="AS42" s="60"/>
    </row>
    <row r="43" spans="1:45" ht="13.5" thickBot="1">
      <c r="A43" s="17"/>
      <c r="B43" s="17"/>
      <c r="C43" s="17"/>
      <c r="D43" s="45" t="s">
        <v>54</v>
      </c>
      <c r="E43" s="138"/>
      <c r="F43" s="168">
        <f>SUM(AR43)</f>
        <v>0</v>
      </c>
      <c r="G43" s="23"/>
      <c r="H43" s="165"/>
      <c r="I43" s="138"/>
      <c r="J43" s="17"/>
      <c r="K43" s="17"/>
      <c r="L43" s="172"/>
      <c r="M43" s="173"/>
      <c r="N43" s="173"/>
      <c r="O43" s="174">
        <f>SUM(O13:O42)</f>
        <v>0</v>
      </c>
      <c r="P43" s="174"/>
      <c r="Q43" s="173"/>
      <c r="R43" s="174">
        <f>SUM(R13:R42)</f>
        <v>0</v>
      </c>
      <c r="S43" s="174">
        <f>SUM(S13:S42)</f>
        <v>0</v>
      </c>
      <c r="T43" s="173"/>
      <c r="U43" s="174">
        <f>SUM(U13:U42)</f>
        <v>0</v>
      </c>
      <c r="V43" s="317">
        <f>SUM(V13:V42)</f>
        <v>0</v>
      </c>
      <c r="W43" s="172"/>
      <c r="X43" s="173"/>
      <c r="Y43" s="173"/>
      <c r="Z43" s="174">
        <f>SUM(Z13:Z42)</f>
        <v>0</v>
      </c>
      <c r="AA43" s="174">
        <f>SUM(AA13:AA42)</f>
        <v>0</v>
      </c>
      <c r="AB43" s="173"/>
      <c r="AC43" s="174">
        <f>SUM(AC13:AC42)</f>
        <v>0</v>
      </c>
      <c r="AD43" s="174">
        <f>SUM(AD13:AD42)</f>
        <v>0</v>
      </c>
      <c r="AE43" s="173"/>
      <c r="AF43" s="174">
        <f>SUM(AF13:AF42)</f>
        <v>0</v>
      </c>
      <c r="AG43" s="175">
        <f>SUM(AG13:AG42)</f>
        <v>0</v>
      </c>
      <c r="AH43" s="172"/>
      <c r="AI43" s="173"/>
      <c r="AJ43" s="173"/>
      <c r="AK43" s="174">
        <f>SUM(AK13:AK42)</f>
        <v>0</v>
      </c>
      <c r="AL43" s="174">
        <f>SUM(AL13:AL42)</f>
        <v>0</v>
      </c>
      <c r="AM43" s="173"/>
      <c r="AN43" s="174">
        <f>SUM(AN13:AN42)</f>
        <v>0</v>
      </c>
      <c r="AO43" s="174">
        <f>SUM(AO13:AO42)</f>
        <v>0</v>
      </c>
      <c r="AP43" s="173"/>
      <c r="AQ43" s="174">
        <f>SUM(AQ13:AQ42)</f>
        <v>0</v>
      </c>
      <c r="AR43" s="176">
        <f>SUM(AR13:AR42)</f>
        <v>0</v>
      </c>
      <c r="AS43" s="17"/>
    </row>
    <row r="44" spans="1:45" ht="13.5" thickBot="1">
      <c r="A44" s="17"/>
      <c r="B44" s="17"/>
      <c r="C44" s="165"/>
      <c r="D44" s="138"/>
      <c r="E44" s="17"/>
      <c r="F44" s="17"/>
      <c r="G44" s="17"/>
      <c r="H44" s="165"/>
      <c r="I44" s="138"/>
      <c r="J44" s="17"/>
      <c r="K44" s="17"/>
      <c r="L44" s="17"/>
      <c r="M44" s="17"/>
      <c r="N44" s="17"/>
      <c r="O44" s="17"/>
      <c r="P44" s="17"/>
      <c r="Q44" s="123"/>
      <c r="R44" s="123"/>
      <c r="S44" s="123"/>
      <c r="T44" s="17"/>
      <c r="U44" s="17"/>
      <c r="V44" s="17"/>
      <c r="W44" s="60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71"/>
      <c r="AM44" s="71"/>
      <c r="AN44" s="17"/>
      <c r="AO44" s="17"/>
      <c r="AP44" s="152"/>
      <c r="AQ44" s="60"/>
      <c r="AR44" s="17"/>
      <c r="AS44" s="17"/>
    </row>
    <row r="45" spans="1:45" ht="13.5" thickBot="1">
      <c r="A45" s="17"/>
      <c r="B45" s="45"/>
      <c r="C45" s="45" t="s">
        <v>78</v>
      </c>
      <c r="D45" s="169"/>
      <c r="E45" s="17"/>
      <c r="F45" s="170">
        <f>SUM(F41-F42-F43)</f>
        <v>0</v>
      </c>
      <c r="G45" s="17"/>
      <c r="H45" s="17"/>
      <c r="I45" s="80"/>
      <c r="J45" s="17"/>
      <c r="K45" s="17"/>
      <c r="L45" s="17"/>
      <c r="M45" s="68">
        <v>0</v>
      </c>
      <c r="N45" s="60"/>
      <c r="O45" s="177"/>
      <c r="P45" s="177"/>
      <c r="Q45" s="60"/>
      <c r="R45" s="60"/>
      <c r="S45" s="60"/>
      <c r="T45" s="76"/>
      <c r="U45" s="23"/>
      <c r="V45" s="178"/>
      <c r="W45" s="17"/>
      <c r="X45" s="179"/>
      <c r="Y45" s="29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60"/>
      <c r="AK45" s="60"/>
      <c r="AL45" s="60"/>
      <c r="AM45" s="60"/>
      <c r="AN45" s="76"/>
      <c r="AO45" s="17"/>
      <c r="AP45" s="180"/>
      <c r="AQ45" s="17"/>
      <c r="AR45" s="179"/>
      <c r="AS45" s="29"/>
    </row>
    <row r="46" spans="1:45" ht="12.75">
      <c r="A46" s="28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60"/>
      <c r="O46" s="60"/>
      <c r="P46" s="60"/>
      <c r="Q46" s="17"/>
      <c r="R46" s="181"/>
      <c r="S46" s="17"/>
      <c r="T46" s="17"/>
      <c r="U46" s="60"/>
      <c r="V46" s="178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8"/>
      <c r="AQ46" s="17"/>
      <c r="AR46" s="17"/>
      <c r="AS46" s="17"/>
    </row>
    <row r="47" spans="1:45" ht="12.75">
      <c r="A47" s="28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</row>
    <row r="48" spans="1:11" ht="12.75">
      <c r="A48" s="17" t="s">
        <v>74</v>
      </c>
      <c r="B48" s="17"/>
      <c r="C48" s="310">
        <f ca="1">TODAY()</f>
        <v>45365</v>
      </c>
      <c r="D48" s="17"/>
      <c r="E48" s="17"/>
      <c r="F48" s="17"/>
      <c r="G48" s="17"/>
      <c r="H48" s="17"/>
      <c r="I48" s="17"/>
      <c r="J48" s="17"/>
      <c r="K48" s="17"/>
    </row>
    <row r="49" spans="1:1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2.75">
      <c r="A50" s="17"/>
      <c r="B50" s="17"/>
      <c r="C50" s="17"/>
      <c r="D50" s="17"/>
      <c r="E50" s="17"/>
      <c r="F50" s="17"/>
      <c r="G50" s="17"/>
      <c r="H50" s="17"/>
      <c r="I50" s="133" t="s">
        <v>172</v>
      </c>
      <c r="J50" s="17"/>
      <c r="K50" s="17"/>
    </row>
    <row r="52" ht="12.75">
      <c r="A52" s="152"/>
    </row>
  </sheetData>
  <sheetProtection password="C248" sheet="1"/>
  <mergeCells count="3">
    <mergeCell ref="D2:F2"/>
    <mergeCell ref="D4:F4"/>
    <mergeCell ref="D6:F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5.00390625" style="0" customWidth="1"/>
    <col min="3" max="3" width="17.7109375" style="0" customWidth="1"/>
    <col min="4" max="4" width="9.57421875" style="0" customWidth="1"/>
    <col min="5" max="5" width="5.7109375" style="0" customWidth="1"/>
    <col min="6" max="6" width="10.28125" style="0" customWidth="1"/>
    <col min="7" max="7" width="8.57421875" style="0" customWidth="1"/>
    <col min="8" max="8" width="6.7109375" style="0" customWidth="1"/>
    <col min="9" max="10" width="7.28125" style="0" customWidth="1"/>
    <col min="11" max="11" width="4.140625" style="0" customWidth="1"/>
    <col min="21" max="21" width="10.28125" style="0" customWidth="1"/>
  </cols>
  <sheetData>
    <row r="1" spans="1:24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92" t="s">
        <v>33</v>
      </c>
      <c r="M1" s="92"/>
      <c r="N1" s="51"/>
      <c r="O1" s="44"/>
      <c r="P1" s="75">
        <v>2008</v>
      </c>
      <c r="Q1" s="88">
        <v>1</v>
      </c>
      <c r="R1" s="17"/>
      <c r="S1" s="45"/>
      <c r="T1" s="45"/>
      <c r="U1" s="45"/>
      <c r="V1" s="45"/>
      <c r="W1" s="45"/>
      <c r="X1" s="17"/>
    </row>
    <row r="2" spans="1:24" ht="12.75">
      <c r="A2" s="45" t="s">
        <v>28</v>
      </c>
      <c r="B2" s="17"/>
      <c r="C2" s="17"/>
      <c r="D2" s="395"/>
      <c r="E2" s="396"/>
      <c r="F2" s="397"/>
      <c r="G2" s="17"/>
      <c r="H2" s="17"/>
      <c r="I2" s="17"/>
      <c r="J2" s="17"/>
      <c r="K2" s="17"/>
      <c r="L2" s="44" t="s">
        <v>34</v>
      </c>
      <c r="M2" s="44"/>
      <c r="N2" s="91">
        <f>SUM(F14)</f>
        <v>0</v>
      </c>
      <c r="O2" s="44"/>
      <c r="P2" s="77">
        <v>2009</v>
      </c>
      <c r="Q2" s="89">
        <v>1</v>
      </c>
      <c r="R2" s="17"/>
      <c r="S2" s="333"/>
      <c r="T2" s="333"/>
      <c r="U2" s="340"/>
      <c r="V2" s="345"/>
      <c r="W2" s="17"/>
      <c r="X2" s="17"/>
    </row>
    <row r="3" spans="1:2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44" t="s">
        <v>36</v>
      </c>
      <c r="M3" s="44"/>
      <c r="N3" s="91">
        <f>IF(N2=0,0,N2+65)</f>
        <v>0</v>
      </c>
      <c r="O3" s="44"/>
      <c r="P3" s="77">
        <v>2010</v>
      </c>
      <c r="Q3" s="89">
        <v>1</v>
      </c>
      <c r="R3" s="17"/>
      <c r="S3" s="333"/>
      <c r="T3" s="333"/>
      <c r="U3" s="333"/>
      <c r="V3" s="345"/>
      <c r="W3" s="17"/>
      <c r="X3" s="17"/>
    </row>
    <row r="4" spans="1:24" ht="12.75">
      <c r="A4" s="45" t="s">
        <v>29</v>
      </c>
      <c r="B4" s="17"/>
      <c r="C4" s="17"/>
      <c r="D4" s="398"/>
      <c r="E4" s="399"/>
      <c r="F4" s="400"/>
      <c r="G4" s="17"/>
      <c r="H4" s="17"/>
      <c r="I4" s="17"/>
      <c r="J4" s="17"/>
      <c r="K4" s="17"/>
      <c r="L4" s="44" t="s">
        <v>39</v>
      </c>
      <c r="M4" s="44"/>
      <c r="N4" s="91">
        <f>SUM(F13)</f>
        <v>0</v>
      </c>
      <c r="O4" s="44"/>
      <c r="P4" s="77">
        <v>2011</v>
      </c>
      <c r="Q4" s="89">
        <v>1</v>
      </c>
      <c r="R4" s="17"/>
      <c r="S4" s="333"/>
      <c r="T4" s="333"/>
      <c r="U4" s="341"/>
      <c r="V4" s="345"/>
      <c r="W4" s="17"/>
      <c r="X4" s="17"/>
    </row>
    <row r="5" spans="1:24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44" t="s">
        <v>41</v>
      </c>
      <c r="M5" s="44"/>
      <c r="N5" s="91">
        <f>SUM(F15)</f>
        <v>30</v>
      </c>
      <c r="O5" s="44"/>
      <c r="P5" s="78">
        <v>2012</v>
      </c>
      <c r="Q5" s="90">
        <v>1</v>
      </c>
      <c r="R5" s="17"/>
      <c r="S5" s="333"/>
      <c r="T5" s="333"/>
      <c r="U5" s="346"/>
      <c r="V5" s="345"/>
      <c r="W5" s="17"/>
      <c r="X5" s="17"/>
    </row>
    <row r="6" spans="1:24" ht="12.75">
      <c r="A6" s="45" t="s">
        <v>30</v>
      </c>
      <c r="B6" s="17"/>
      <c r="C6" s="17"/>
      <c r="D6" s="398"/>
      <c r="E6" s="399"/>
      <c r="F6" s="400"/>
      <c r="G6" s="17"/>
      <c r="H6" s="17"/>
      <c r="I6" s="17"/>
      <c r="J6" s="17"/>
      <c r="K6" s="17"/>
      <c r="L6" s="93" t="s">
        <v>44</v>
      </c>
      <c r="M6" s="93"/>
      <c r="N6" s="94">
        <f>IF(N4+N5&gt;=N3,N3,N4+N5-1)</f>
        <v>0</v>
      </c>
      <c r="O6" s="44"/>
      <c r="P6" s="44"/>
      <c r="Q6" s="17"/>
      <c r="R6" s="17"/>
      <c r="S6" s="333"/>
      <c r="T6" s="331"/>
      <c r="U6" s="333"/>
      <c r="V6" s="347"/>
      <c r="W6" s="17"/>
      <c r="X6" s="17"/>
    </row>
    <row r="7" spans="1:2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93" t="s">
        <v>46</v>
      </c>
      <c r="M7" s="93"/>
      <c r="N7" s="94">
        <f>IF(N6-N4&gt;=N5,N4,N6-N5+1)</f>
        <v>-29</v>
      </c>
      <c r="O7" s="49">
        <f>SUM(N6-N7+1)</f>
        <v>30</v>
      </c>
      <c r="P7" s="44"/>
      <c r="Q7" s="17"/>
      <c r="R7" s="17"/>
      <c r="S7" s="333"/>
      <c r="T7" s="348"/>
      <c r="U7" s="349"/>
      <c r="V7" s="347"/>
      <c r="W7" s="17"/>
      <c r="X7" s="17"/>
    </row>
    <row r="8" spans="1:40" ht="12.75">
      <c r="A8" s="81" t="s">
        <v>165</v>
      </c>
      <c r="B8" s="81"/>
      <c r="C8" s="17"/>
      <c r="D8" s="81"/>
      <c r="E8" s="81"/>
      <c r="F8" s="17"/>
      <c r="G8" s="17"/>
      <c r="H8" s="17"/>
      <c r="I8" s="17"/>
      <c r="J8" s="17"/>
      <c r="K8" s="17"/>
      <c r="L8" s="17"/>
      <c r="M8" s="17"/>
      <c r="N8" s="26"/>
      <c r="O8" s="44"/>
      <c r="P8" s="44"/>
      <c r="Q8" s="44"/>
      <c r="R8" s="44"/>
      <c r="S8" s="333"/>
      <c r="T8" s="333"/>
      <c r="U8" s="332"/>
      <c r="V8" s="345"/>
      <c r="W8" s="17"/>
      <c r="X8" s="17"/>
      <c r="Z8" s="105"/>
      <c r="AF8" s="104"/>
      <c r="AG8" s="106"/>
      <c r="AH8" s="107"/>
      <c r="AI8" s="108"/>
      <c r="AJ8" s="109"/>
      <c r="AK8" s="110"/>
      <c r="AL8" s="110"/>
      <c r="AM8" s="110"/>
      <c r="AN8" s="110"/>
    </row>
    <row r="9" spans="1:42" ht="13.5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44"/>
      <c r="P9" s="44"/>
      <c r="Q9" s="44"/>
      <c r="R9" s="44"/>
      <c r="S9" s="333"/>
      <c r="T9" s="333"/>
      <c r="U9" s="350"/>
      <c r="V9" s="345"/>
      <c r="W9" s="17"/>
      <c r="X9" s="17"/>
      <c r="AH9" s="107"/>
      <c r="AI9" s="110"/>
      <c r="AJ9" s="111"/>
      <c r="AK9" s="110"/>
      <c r="AL9" s="110"/>
      <c r="AM9" s="110"/>
      <c r="AN9" s="110"/>
      <c r="AP9" s="112"/>
    </row>
    <row r="10" spans="1:4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24" t="s">
        <v>47</v>
      </c>
      <c r="M10" s="125"/>
      <c r="N10" s="126"/>
      <c r="O10" s="126" t="s">
        <v>50</v>
      </c>
      <c r="P10" s="127">
        <f>IF(D30="",4.5%,D30)</f>
        <v>0.045</v>
      </c>
      <c r="Q10" s="126"/>
      <c r="R10" s="126"/>
      <c r="S10" s="127">
        <f>IF(D30="",4.5%,D30)</f>
        <v>0.045</v>
      </c>
      <c r="T10" s="126"/>
      <c r="U10" s="126"/>
      <c r="V10" s="131" t="s">
        <v>51</v>
      </c>
      <c r="W10" s="124" t="s">
        <v>52</v>
      </c>
      <c r="X10" s="125"/>
      <c r="Y10" s="126"/>
      <c r="Z10" s="126"/>
      <c r="AA10" s="129">
        <f>IF(D24="",4.5%,D24)</f>
        <v>0.045</v>
      </c>
      <c r="AB10" s="126"/>
      <c r="AC10" s="126"/>
      <c r="AD10" s="129">
        <f>IF(D24="",4.5%,D24)</f>
        <v>0.045</v>
      </c>
      <c r="AE10" s="126"/>
      <c r="AF10" s="126"/>
      <c r="AG10" s="128" t="s">
        <v>53</v>
      </c>
      <c r="AH10" s="124" t="s">
        <v>54</v>
      </c>
      <c r="AI10" s="125"/>
      <c r="AJ10" s="126"/>
      <c r="AK10" s="126"/>
      <c r="AL10" s="129">
        <f>IF(D36="",4.5%,D36)</f>
        <v>0.045</v>
      </c>
      <c r="AM10" s="126"/>
      <c r="AN10" s="126"/>
      <c r="AO10" s="130">
        <f>IF(D36="",4.5%,D36)</f>
        <v>0.045</v>
      </c>
      <c r="AP10" s="126"/>
      <c r="AQ10" s="126"/>
      <c r="AR10" s="131" t="s">
        <v>55</v>
      </c>
      <c r="AS10" s="17"/>
    </row>
    <row r="11" spans="1:4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32"/>
      <c r="M11" s="351"/>
      <c r="N11" s="333"/>
      <c r="O11" s="333" t="s">
        <v>56</v>
      </c>
      <c r="P11" s="352">
        <f>SUM(D31)</f>
        <v>0.13</v>
      </c>
      <c r="Q11" s="333"/>
      <c r="R11" s="333"/>
      <c r="S11" s="352">
        <f>SUM(D32)</f>
        <v>0.68</v>
      </c>
      <c r="T11" s="333"/>
      <c r="U11" s="333"/>
      <c r="V11" s="141" t="s">
        <v>57</v>
      </c>
      <c r="W11" s="136"/>
      <c r="X11" s="137"/>
      <c r="Y11" s="17"/>
      <c r="Z11" s="17"/>
      <c r="AA11" s="138">
        <f>SUM(D25)</f>
        <v>0.13</v>
      </c>
      <c r="AB11" s="17"/>
      <c r="AC11" s="51"/>
      <c r="AD11" s="139">
        <f>SUM(D26)</f>
        <v>0.68</v>
      </c>
      <c r="AE11" s="17"/>
      <c r="AF11" s="17"/>
      <c r="AG11" s="135" t="s">
        <v>57</v>
      </c>
      <c r="AH11" s="136"/>
      <c r="AI11" s="137"/>
      <c r="AJ11" s="17"/>
      <c r="AK11" s="17"/>
      <c r="AL11" s="134">
        <f>SUM(D37)</f>
        <v>0.13</v>
      </c>
      <c r="AM11" s="17"/>
      <c r="AN11" s="51"/>
      <c r="AO11" s="140">
        <f>SUM(D38)</f>
        <v>0.68</v>
      </c>
      <c r="AP11" s="17"/>
      <c r="AQ11" s="17"/>
      <c r="AR11" s="141" t="s">
        <v>57</v>
      </c>
      <c r="AS11" s="17"/>
    </row>
    <row r="12" spans="1:45" ht="12.75">
      <c r="A12" s="17" t="s">
        <v>35</v>
      </c>
      <c r="B12" s="17"/>
      <c r="C12" s="17"/>
      <c r="D12" s="17"/>
      <c r="E12" s="17"/>
      <c r="F12" s="73"/>
      <c r="G12" s="59"/>
      <c r="H12" s="17"/>
      <c r="I12" s="17"/>
      <c r="J12" s="17"/>
      <c r="K12" s="17"/>
      <c r="L12" s="143" t="s">
        <v>59</v>
      </c>
      <c r="M12" s="353"/>
      <c r="N12" s="354" t="s">
        <v>60</v>
      </c>
      <c r="O12" s="355">
        <f>SUM(F19)</f>
        <v>0</v>
      </c>
      <c r="P12" s="356">
        <f>SUM(D31)</f>
        <v>0.13</v>
      </c>
      <c r="Q12" s="354" t="s">
        <v>61</v>
      </c>
      <c r="R12" s="355" t="s">
        <v>62</v>
      </c>
      <c r="S12" s="356">
        <f>SUM(D32)</f>
        <v>0.68</v>
      </c>
      <c r="T12" s="357" t="s">
        <v>63</v>
      </c>
      <c r="U12" s="354" t="s">
        <v>64</v>
      </c>
      <c r="V12" s="151" t="s">
        <v>65</v>
      </c>
      <c r="W12" s="147" t="s">
        <v>59</v>
      </c>
      <c r="X12" s="133"/>
      <c r="Y12" s="148" t="s">
        <v>66</v>
      </c>
      <c r="Z12" s="149" t="s">
        <v>50</v>
      </c>
      <c r="AA12" s="150">
        <f>SUM(D25)</f>
        <v>0.13</v>
      </c>
      <c r="AB12" s="96" t="s">
        <v>67</v>
      </c>
      <c r="AC12" s="144" t="s">
        <v>68</v>
      </c>
      <c r="AD12" s="145">
        <f>SUM(D26)</f>
        <v>0.68</v>
      </c>
      <c r="AE12" s="96" t="s">
        <v>63</v>
      </c>
      <c r="AF12" s="96" t="s">
        <v>64</v>
      </c>
      <c r="AG12" s="146" t="s">
        <v>65</v>
      </c>
      <c r="AH12" s="147" t="s">
        <v>59</v>
      </c>
      <c r="AI12" s="133"/>
      <c r="AJ12" s="148" t="s">
        <v>66</v>
      </c>
      <c r="AK12" s="149" t="s">
        <v>50</v>
      </c>
      <c r="AL12" s="150">
        <f>SUM(D37)</f>
        <v>0.13</v>
      </c>
      <c r="AM12" s="96" t="s">
        <v>67</v>
      </c>
      <c r="AN12" s="144" t="s">
        <v>68</v>
      </c>
      <c r="AO12" s="145">
        <f>SUM(D38)</f>
        <v>0.68</v>
      </c>
      <c r="AP12" s="96" t="s">
        <v>63</v>
      </c>
      <c r="AQ12" s="96" t="s">
        <v>64</v>
      </c>
      <c r="AR12" s="151" t="s">
        <v>65</v>
      </c>
      <c r="AS12" s="148"/>
    </row>
    <row r="13" spans="1:45" ht="12.75">
      <c r="A13" s="17" t="s">
        <v>37</v>
      </c>
      <c r="B13" s="17"/>
      <c r="C13" s="17"/>
      <c r="D13" s="17"/>
      <c r="E13" s="17"/>
      <c r="F13" s="73"/>
      <c r="G13" s="82" t="s">
        <v>38</v>
      </c>
      <c r="H13" s="199">
        <f>IF(F13=0,0,LOOKUP(F13,Basbelopp!A4:A66,Basbelopp!B4:B66)*7.5)</f>
        <v>0</v>
      </c>
      <c r="I13" s="57"/>
      <c r="J13" s="17"/>
      <c r="K13" s="17"/>
      <c r="L13" s="132">
        <f>IF(F14=0,"",SUM(N3-N5+1))</f>
      </c>
      <c r="M13" s="351">
        <f aca="true" t="shared" si="0" ref="M13:M41">IF(L13="","",IF(L13=$F$12,"1:a Inkf",IF(L13=$F$13,"fastst.år","")))</f>
      </c>
      <c r="N13" s="331">
        <f aca="true" t="shared" si="1" ref="N13:N42">IF(L13="","",IF(AND($M$45="",$F$18=""),"",IF(L13&lt;$H$15,"",IF($F$18&gt;0,IF(L13&lt;$F$12,$F$16,IF($F$18&gt;$H$13,$H$13,$F$18)),IF($M$45&gt;0,IF(L13&lt;$F$12,$M$45,IF($M$45&gt;$H$13,$H$13,$M$45)))))))</f>
      </c>
      <c r="O13" s="358">
        <f>MAX(IF(L13&lt;$D$29,IF(N13="","",IF(L13&lt;$F$12,N13*0.13/30,IF($O$12="",$F$18*0.13/30,IF($M$45&gt;0,MAX(($M$45-$I$18)*0.13/30,0),((F$18*$F$19)-$I$18)*0.13/30)))),0),0)</f>
        <v>0</v>
      </c>
      <c r="P13" s="358">
        <f>IF(L13&lt;$F$12,0,MAX(IF($D$29&gt;L13,0,($G$19-$I$18)*$D$31/30),0))</f>
        <v>0</v>
      </c>
      <c r="Q13" s="331">
        <f>IF($G$19&lt;($F$18-$H$13),$G$19,IF(L13="","",IF(AND($M$45="",$F$18=""),"",(IF(L13&lt;$H$15,"",IF($F$18&gt;0,IF(L13&lt;$F$12,0,IF($F$18&gt;$H$13,$F$18-$H$13,0)),IF($M$45&gt;0,IF(L13&lt;$F$12,0,IF($M$45&gt;$H$13,$M$45-$H$13,0)))))))))</f>
      </c>
      <c r="R13" s="349">
        <f>IF(L13&lt;$D$29,IF(Q13="","",IF(L13&lt;$F$12,0,IF($M$45&gt;$I$18,$I$18*0.68/30,IF($M$45&gt;0,IF($F$18&gt;$H$13,$M$45*0.68/30,Q13*0.68/30),Q13*0.68/30)))),0)</f>
        <v>0</v>
      </c>
      <c r="S13" s="349">
        <f>IF(L13&gt;=$D$29,IF(Q13="","",IF(L13&lt;$F$12,0,IF($M$45&gt;$I$18,$I$18*$S$11/30,IF($M$45&gt;0,IF($F$18&gt;$H$13,$M$45*$S$11/30,Q13*$S$11/30),Q13*$S$11/30)))),0)</f>
      </c>
      <c r="T13" s="153">
        <f>IF(Q13="","",IF(L13&lt;2008,100%,LOOKUP(L13,$P$1:$P$5,$Q$1:Q$5)))</f>
      </c>
      <c r="U13" s="154">
        <f>IF(Q13="","",IF(T13=13%,Q13*T13/30,(R13+S13)*T13))</f>
      </c>
      <c r="V13" s="316">
        <f aca="true" t="shared" si="2" ref="V13:V42">IF(L13&lt;$F$12,0,IF(N13="","",SUM(O13+P13+U13)))</f>
      </c>
      <c r="W13" s="155">
        <f>IF(L13="","",L13)</f>
      </c>
      <c r="X13" s="137">
        <f aca="true" t="shared" si="3" ref="X13:X41">IF(W13="","",IF(L13=$F$12,"1:a Inkf",IF(L13=$F$13,"fastst.år","")))</f>
      </c>
      <c r="Y13" s="60">
        <f aca="true" t="shared" si="4" ref="Y13:Y42">IF(W13="","",IF(W13&lt;$H$15,"",IF(W13&lt;$F$12,$F$16,IF($F$16&gt;$H$13,$H$13,$F$16))))</f>
      </c>
      <c r="Z13" s="152">
        <f aca="true" t="shared" si="5" ref="Z13:Z42">IF(L13&lt;$D$23,IF(W13="","",IF(Y13=0,0,IF(W13&lt;$F$12,Y13*0.13/30,IF($F$16&gt;0,(($F$16-$I$16)*0.13/30),(($M$45-$I$18)*0.13/30))))),0)</f>
        <v>0</v>
      </c>
      <c r="AA13" s="152">
        <f aca="true" t="shared" si="6" ref="AA13:AA42">IF(L13&gt;=$D$23,IF(W13="","",IF(Y13=0,0,IF(W13&lt;$F$12,Y13*$D$25/30,IF($F$16&gt;0,(($F$16-$I$16)*$D$25/30),(($M$45-$I$18)*$D$25/30))))),0)</f>
      </c>
      <c r="AB13" s="60">
        <f aca="true" t="shared" si="7" ref="AB13:AB42">IF(W13="","",IF(Y13=0,0,IF(W13&lt;$F$12,0,IF($F$16&gt;0,IF($F$16&gt;$H$13,$F$16-$H$13,0),IF($M$45&gt;$H$13,$M$45-$H$13,0)))))</f>
      </c>
      <c r="AC13" s="60">
        <f aca="true" t="shared" si="8" ref="AC13:AC42">IF(L13&lt;$D$23,IF(W13="","",IF(Y13=0,0,IF(W13&lt;$F$12,0,IF($I$16&gt;0,$I$16*0.68/30,$I$16*0.68/30)))),0)</f>
        <v>0</v>
      </c>
      <c r="AD13" s="60">
        <f aca="true" t="shared" si="9" ref="AD13:AD42">IF(L13&gt;=$D$23,IF(W13="","",IF(Y13=0,0,IF(W13&lt;$F$12,0,IF($I$16&gt;0,$I$16*$D$26/30,$I$16*$D$26/30)))),0)</f>
      </c>
      <c r="AE13" s="153">
        <f>IF(Y13="","",IF(W13&lt;2008,100%,LOOKUP(W13,$P$1:$P$5,$Q$1:$Q$5)))</f>
      </c>
      <c r="AF13" s="152">
        <f>IF(Y13="","",IF(AE13=13%,AB13*AE13/30,(AC13+AD13)*AE13))</f>
      </c>
      <c r="AG13" s="60">
        <f aca="true" t="shared" si="10" ref="AG13:AG42">IF(W13&lt;$F$12,0,IF(Y13="","",SUM(Z13+AA13+AF13)))</f>
      </c>
      <c r="AH13" s="155">
        <f>IF(W13="","",W13)</f>
      </c>
      <c r="AI13" s="137">
        <f aca="true" t="shared" si="11" ref="AI13:AI41">IF(AH13="","",IF(W13=$F$12,"1:a Inkf",IF(W13=$F$13,"fastst.år","")))</f>
      </c>
      <c r="AJ13" s="60">
        <f aca="true" t="shared" si="12" ref="AJ13:AJ42">IF(AH13&lt;$F$12,0,IF(AH13="","",IF(AH13&lt;$H$15,"",IF(AH13&lt;$F$12,$F$16,IF($F$21&gt;$H$13,$H$13,$F$21)))))</f>
      </c>
      <c r="AK13" s="152">
        <f aca="true" t="shared" si="13" ref="AK13:AK42">IF(AH13&lt;$F$12,0,IF(AH13&lt;$D$35,IF(AH13="","",IF(AJ13=0,0,IF(AH13&lt;$F$12,AJ13*0.13/30,IF($F$21&gt;0,(($F$21-$I$21)*0.13/30),(($M$45-$I$21)*0.13/30))))),0))</f>
        <v>0</v>
      </c>
      <c r="AL13" s="152">
        <f aca="true" t="shared" si="14" ref="AL13:AL42">IF(AH13&lt;$F$12,0,IF(AH13&gt;=$D$35,IF(AH13="","",IF(AJ13=0,0,IF(AH13&lt;$F$12,AJ13*$D$37/30,IF($F$21&gt;0,(($F$21-$I$21)*$D$37/30),(($M$45-$I$21)*$D$37/30))))),0))</f>
      </c>
      <c r="AM13" s="60">
        <f aca="true" t="shared" si="15" ref="AM13:AM42">IF(AH13&lt;$F$12,0,IF(AH13="","",IF(AJ13=0,0,IF(AH13&lt;$F$12,0,IF($F$21&gt;0,IF($F$21&gt;$H$13,$F$21-$H$13,0),IF($M$45&gt;$H$13,$M$45-$H$13,0))))))</f>
      </c>
      <c r="AN13" s="60">
        <f aca="true" t="shared" si="16" ref="AN13:AN42">IF(AH13&lt;$F$12,0,IF(AH13&lt;$D$35,IF(AH13="","",IF(AJ13=0,0,IF(AH13&lt;$F$12,0,IF($I$21&gt;0,$I$21*0.68/30,$I$21*0.68/30)))),0))</f>
        <v>0</v>
      </c>
      <c r="AO13" s="156">
        <f aca="true" t="shared" si="17" ref="AO13:AO42">IF(AH13&gt;=$D$35,IF(AH13="","",IF(AJ13=0,0,IF(AH13&lt;$F$12,0,IF($I$21&gt;0,$I$21*$D$38/30,$I$21*$D$38/30)))),0)</f>
      </c>
      <c r="AP13" s="153">
        <f>IF(AH13&lt;$F$12,0,IF(AJ13="","",IF(AH13&lt;2008,100%,LOOKUP(AH13,$P$1:$P$5,$Q$1:$Q$5))))</f>
      </c>
      <c r="AQ13" s="152">
        <f aca="true" t="shared" si="18" ref="AQ13:AQ42">IF(AH13&lt;$F$12,0,IF(AJ13="","",IF(AP13=13%,AM13*AP13/30,(AN13+AO13)*AP13)))</f>
      </c>
      <c r="AR13" s="157">
        <f aca="true" t="shared" si="19" ref="AR13:AR42">IF(AH13&lt;$F$12,0,IF(AJ13="","",SUM(AK13+AL13+AQ13)))</f>
      </c>
      <c r="AS13" s="60"/>
    </row>
    <row r="14" spans="1:45" ht="12.75">
      <c r="A14" s="17" t="s">
        <v>40</v>
      </c>
      <c r="B14" s="17"/>
      <c r="C14" s="17"/>
      <c r="D14" s="17"/>
      <c r="E14" s="17"/>
      <c r="F14" s="73"/>
      <c r="G14" s="83" t="s">
        <v>36</v>
      </c>
      <c r="H14" s="84">
        <f>SUM(F14+65)</f>
        <v>65</v>
      </c>
      <c r="I14" s="114"/>
      <c r="J14" s="17"/>
      <c r="K14" s="17"/>
      <c r="L14" s="132">
        <f aca="true" t="shared" si="20" ref="L14:L42">IF(L13&lt;$N$3,L13+1,"")</f>
      </c>
      <c r="M14" s="351">
        <f t="shared" si="0"/>
      </c>
      <c r="N14" s="331">
        <f t="shared" si="1"/>
      </c>
      <c r="O14" s="358">
        <f aca="true" t="shared" si="21" ref="O14:O42">MAX(IF(L14&lt;$D$29,IF(N14="","",IF(L14&lt;$F$12,N14*0.13/30,IF($O$12="",$F$18*0.13/30,IF($M$45&gt;0,MAX(($M$45-$I$18)*0.13/30,0),((F$18*$F$19)-$I$18)*0.13/30)))),0),0)</f>
        <v>0</v>
      </c>
      <c r="P14" s="358">
        <f aca="true" t="shared" si="22" ref="P14:P42">IF(L14&lt;$F$12,0,MAX(IF($D$29&gt;L14,0,($G$19-$I$18)*$D$31/30),0))</f>
        <v>0</v>
      </c>
      <c r="Q14" s="331">
        <f aca="true" t="shared" si="23" ref="Q14:Q42">IF($G$19&lt;($F$18-$H$13),$G$19,IF(L14="","",IF(AND($M$45="",$F$18=""),"",(IF(L14&lt;$H$15,"",IF($F$18&gt;0,IF(L14&lt;$F$12,0,IF($F$18&gt;$H$13,$F$18-$H$13,0)),IF($M$45&gt;0,IF(L14&lt;$F$12,0,IF($M$45&gt;$H$13,$M$45-$H$13,0)))))))))</f>
      </c>
      <c r="R14" s="349">
        <f aca="true" t="shared" si="24" ref="R14:R42">IF(L14&lt;$D$29,IF(Q14="","",IF(L14&lt;$F$12,0,IF($M$45&gt;$I$18,$I$18*0.68/30,IF($M$45&gt;0,IF($F$18&gt;$H$13,$M$45*0.68/30,Q14*0.68/30),Q14*0.68/30)))),0)</f>
        <v>0</v>
      </c>
      <c r="S14" s="349">
        <f aca="true" t="shared" si="25" ref="S14:S42">IF(L14&gt;=$D$29,IF(Q14="","",IF(L14&lt;$F$12,0,IF($M$45&gt;$I$18,$I$18*$S$11/30,IF($M$45&gt;0,IF($F$18&gt;$H$13,$M$45*$S$11/30,Q14*$S$11/30),Q14*$S$11/30)))),0)</f>
      </c>
      <c r="T14" s="153">
        <f>IF(Q14="","",IF(L14&lt;2008,100%,LOOKUP(L14,$P$1:$P$5,$Q$1:Q$5)))</f>
      </c>
      <c r="U14" s="154">
        <f>IF(Q14="","",IF(T14=13%,Q14*T14/30,(R14+S14)*T14))</f>
      </c>
      <c r="V14" s="316">
        <f t="shared" si="2"/>
      </c>
      <c r="W14" s="155">
        <f aca="true" t="shared" si="26" ref="W14:W42">IF(L14="","",L14)</f>
      </c>
      <c r="X14" s="137">
        <f t="shared" si="3"/>
      </c>
      <c r="Y14" s="60">
        <f t="shared" si="4"/>
      </c>
      <c r="Z14" s="152">
        <f t="shared" si="5"/>
        <v>0</v>
      </c>
      <c r="AA14" s="152">
        <f t="shared" si="6"/>
      </c>
      <c r="AB14" s="60">
        <f t="shared" si="7"/>
      </c>
      <c r="AC14" s="60">
        <f t="shared" si="8"/>
        <v>0</v>
      </c>
      <c r="AD14" s="60">
        <f t="shared" si="9"/>
      </c>
      <c r="AE14" s="153">
        <f aca="true" t="shared" si="27" ref="AE14:AE42">IF(Y14="","",IF(W14&lt;2008,100%,LOOKUP(W14,$P$1:$P$5,$Q$1:$Q$5)))</f>
      </c>
      <c r="AF14" s="152">
        <f aca="true" t="shared" si="28" ref="AF14:AF42">IF(Y14="","",IF(AE14=13%,AB14*AE14/30,(AC14+AD14)*AE14))</f>
      </c>
      <c r="AG14" s="60">
        <f t="shared" si="10"/>
      </c>
      <c r="AH14" s="155">
        <f aca="true" t="shared" si="29" ref="AH14:AH42">IF(W14="","",W14)</f>
      </c>
      <c r="AI14" s="137">
        <f t="shared" si="11"/>
      </c>
      <c r="AJ14" s="60">
        <f t="shared" si="12"/>
      </c>
      <c r="AK14" s="152">
        <f t="shared" si="13"/>
        <v>0</v>
      </c>
      <c r="AL14" s="152">
        <f t="shared" si="14"/>
      </c>
      <c r="AM14" s="60">
        <f t="shared" si="15"/>
      </c>
      <c r="AN14" s="60">
        <f t="shared" si="16"/>
        <v>0</v>
      </c>
      <c r="AO14" s="156">
        <f t="shared" si="17"/>
      </c>
      <c r="AP14" s="153">
        <f aca="true" t="shared" si="30" ref="AP14:AP42">IF(AH14&lt;$F$12,0,IF(AJ14="","",IF(AH14&lt;2008,100%,LOOKUP(AH14,$P$1:$P$5,$Q$1:$Q$5))))</f>
      </c>
      <c r="AQ14" s="152">
        <f t="shared" si="18"/>
      </c>
      <c r="AR14" s="157">
        <f t="shared" si="19"/>
      </c>
      <c r="AS14" s="60"/>
    </row>
    <row r="15" spans="1:45" ht="12.75">
      <c r="A15" s="17" t="s">
        <v>42</v>
      </c>
      <c r="B15" s="17"/>
      <c r="C15" s="17"/>
      <c r="D15" s="17"/>
      <c r="E15" s="17"/>
      <c r="F15" s="67">
        <v>30</v>
      </c>
      <c r="G15" s="85" t="s">
        <v>43</v>
      </c>
      <c r="H15" s="86">
        <f>IF(F15="","",N7)</f>
        <v>-29</v>
      </c>
      <c r="I15" s="86"/>
      <c r="J15" s="87">
        <f>IF(F15="","",N6)</f>
        <v>0</v>
      </c>
      <c r="K15" s="17"/>
      <c r="L15" s="132">
        <f t="shared" si="20"/>
      </c>
      <c r="M15" s="351">
        <f t="shared" si="0"/>
      </c>
      <c r="N15" s="331">
        <f t="shared" si="1"/>
      </c>
      <c r="O15" s="358">
        <f t="shared" si="21"/>
        <v>0</v>
      </c>
      <c r="P15" s="358">
        <f t="shared" si="22"/>
        <v>0</v>
      </c>
      <c r="Q15" s="331">
        <f t="shared" si="23"/>
      </c>
      <c r="R15" s="349">
        <f t="shared" si="24"/>
        <v>0</v>
      </c>
      <c r="S15" s="349">
        <f t="shared" si="25"/>
      </c>
      <c r="T15" s="153">
        <f>IF(Q15="","",IF(L15&lt;2008,100%,LOOKUP(L15,$P$1:$P$5,$Q$1:Q$5)))</f>
      </c>
      <c r="U15" s="154">
        <f>IF(Q15="","",IF(T15=13%,Q15*T15/30,(R15+S15)*T15))</f>
      </c>
      <c r="V15" s="316">
        <f t="shared" si="2"/>
      </c>
      <c r="W15" s="155">
        <f t="shared" si="26"/>
      </c>
      <c r="X15" s="137">
        <f t="shared" si="3"/>
      </c>
      <c r="Y15" s="60">
        <f t="shared" si="4"/>
      </c>
      <c r="Z15" s="152">
        <f t="shared" si="5"/>
        <v>0</v>
      </c>
      <c r="AA15" s="152">
        <f t="shared" si="6"/>
      </c>
      <c r="AB15" s="60">
        <f t="shared" si="7"/>
      </c>
      <c r="AC15" s="60">
        <f t="shared" si="8"/>
        <v>0</v>
      </c>
      <c r="AD15" s="60">
        <f t="shared" si="9"/>
      </c>
      <c r="AE15" s="153">
        <f t="shared" si="27"/>
      </c>
      <c r="AF15" s="152">
        <f t="shared" si="28"/>
      </c>
      <c r="AG15" s="60">
        <f t="shared" si="10"/>
      </c>
      <c r="AH15" s="155">
        <f t="shared" si="29"/>
      </c>
      <c r="AI15" s="137">
        <f t="shared" si="11"/>
      </c>
      <c r="AJ15" s="60">
        <f t="shared" si="12"/>
      </c>
      <c r="AK15" s="152">
        <f t="shared" si="13"/>
        <v>0</v>
      </c>
      <c r="AL15" s="152">
        <f t="shared" si="14"/>
      </c>
      <c r="AM15" s="60">
        <f t="shared" si="15"/>
      </c>
      <c r="AN15" s="60">
        <f t="shared" si="16"/>
        <v>0</v>
      </c>
      <c r="AO15" s="156">
        <f t="shared" si="17"/>
      </c>
      <c r="AP15" s="153">
        <f t="shared" si="30"/>
      </c>
      <c r="AQ15" s="152">
        <f t="shared" si="18"/>
      </c>
      <c r="AR15" s="157">
        <f t="shared" si="19"/>
      </c>
      <c r="AS15" s="60"/>
    </row>
    <row r="16" spans="1:45" ht="12.75">
      <c r="A16" s="45" t="s">
        <v>75</v>
      </c>
      <c r="B16" s="17"/>
      <c r="C16" s="17"/>
      <c r="D16" s="17"/>
      <c r="E16" s="17"/>
      <c r="F16" s="119"/>
      <c r="G16" s="62"/>
      <c r="H16" s="49">
        <f>SUM(H13)</f>
        <v>0</v>
      </c>
      <c r="I16" s="44">
        <f>MAX(F16-H16,0)</f>
        <v>0</v>
      </c>
      <c r="J16" s="44"/>
      <c r="K16" s="17"/>
      <c r="L16" s="132">
        <f t="shared" si="20"/>
      </c>
      <c r="M16" s="351">
        <f t="shared" si="0"/>
      </c>
      <c r="N16" s="331">
        <f t="shared" si="1"/>
      </c>
      <c r="O16" s="358">
        <f t="shared" si="21"/>
        <v>0</v>
      </c>
      <c r="P16" s="358">
        <f t="shared" si="22"/>
        <v>0</v>
      </c>
      <c r="Q16" s="331">
        <f t="shared" si="23"/>
      </c>
      <c r="R16" s="349">
        <f t="shared" si="24"/>
        <v>0</v>
      </c>
      <c r="S16" s="349">
        <f t="shared" si="25"/>
      </c>
      <c r="T16" s="153">
        <f>IF(Q16="","",IF(L16&lt;2008,100%,LOOKUP(L16,$P$1:$P$5,$Q$1:Q$5)))</f>
      </c>
      <c r="U16" s="154">
        <f>IF(Q16="","",IF(T16=13%,Q16*T16/30,(R16+S16)*T16))</f>
      </c>
      <c r="V16" s="316">
        <f t="shared" si="2"/>
      </c>
      <c r="W16" s="155">
        <f t="shared" si="26"/>
      </c>
      <c r="X16" s="137">
        <f t="shared" si="3"/>
      </c>
      <c r="Y16" s="60">
        <f t="shared" si="4"/>
      </c>
      <c r="Z16" s="152">
        <f t="shared" si="5"/>
        <v>0</v>
      </c>
      <c r="AA16" s="152">
        <f t="shared" si="6"/>
      </c>
      <c r="AB16" s="60">
        <f t="shared" si="7"/>
      </c>
      <c r="AC16" s="60">
        <f t="shared" si="8"/>
        <v>0</v>
      </c>
      <c r="AD16" s="60">
        <f t="shared" si="9"/>
      </c>
      <c r="AE16" s="153">
        <f t="shared" si="27"/>
      </c>
      <c r="AF16" s="152">
        <f t="shared" si="28"/>
      </c>
      <c r="AG16" s="60">
        <f t="shared" si="10"/>
      </c>
      <c r="AH16" s="155">
        <f t="shared" si="29"/>
      </c>
      <c r="AI16" s="137">
        <f t="shared" si="11"/>
      </c>
      <c r="AJ16" s="60">
        <f t="shared" si="12"/>
      </c>
      <c r="AK16" s="152">
        <f t="shared" si="13"/>
        <v>0</v>
      </c>
      <c r="AL16" s="152">
        <f t="shared" si="14"/>
      </c>
      <c r="AM16" s="60">
        <f t="shared" si="15"/>
      </c>
      <c r="AN16" s="60">
        <f t="shared" si="16"/>
        <v>0</v>
      </c>
      <c r="AO16" s="156">
        <f t="shared" si="17"/>
      </c>
      <c r="AP16" s="153">
        <f t="shared" si="30"/>
      </c>
      <c r="AQ16" s="152">
        <f t="shared" si="18"/>
      </c>
      <c r="AR16" s="157">
        <f t="shared" si="19"/>
      </c>
      <c r="AS16" s="60"/>
    </row>
    <row r="17" spans="1:45" ht="12.75">
      <c r="A17" s="45" t="s">
        <v>47</v>
      </c>
      <c r="B17" s="17"/>
      <c r="C17" s="17"/>
      <c r="D17" s="17"/>
      <c r="E17" s="17"/>
      <c r="F17" s="17"/>
      <c r="G17" s="62"/>
      <c r="H17" s="49">
        <f>SUM(H13)</f>
        <v>0</v>
      </c>
      <c r="I17" s="44">
        <f>MAX(M45-H17,0)</f>
        <v>0</v>
      </c>
      <c r="J17" s="44"/>
      <c r="K17" s="17"/>
      <c r="L17" s="132">
        <f t="shared" si="20"/>
      </c>
      <c r="M17" s="351">
        <f t="shared" si="0"/>
      </c>
      <c r="N17" s="331">
        <f t="shared" si="1"/>
      </c>
      <c r="O17" s="358">
        <f t="shared" si="21"/>
        <v>0</v>
      </c>
      <c r="P17" s="358">
        <f t="shared" si="22"/>
        <v>0</v>
      </c>
      <c r="Q17" s="331">
        <f t="shared" si="23"/>
      </c>
      <c r="R17" s="349">
        <f t="shared" si="24"/>
        <v>0</v>
      </c>
      <c r="S17" s="349">
        <f t="shared" si="25"/>
      </c>
      <c r="T17" s="153">
        <f>IF(Q17="","",IF(L17&lt;2008,100%,LOOKUP(L17,$P$1:$P$5,$Q$1:Q$5)))</f>
      </c>
      <c r="U17" s="154">
        <f>IF(Q17="","",IF(T17=13%,Q17*T17/30,(R17+S17)*T17))</f>
      </c>
      <c r="V17" s="316">
        <f t="shared" si="2"/>
      </c>
      <c r="W17" s="155">
        <f t="shared" si="26"/>
      </c>
      <c r="X17" s="137">
        <f t="shared" si="3"/>
      </c>
      <c r="Y17" s="60">
        <f t="shared" si="4"/>
      </c>
      <c r="Z17" s="152">
        <f t="shared" si="5"/>
        <v>0</v>
      </c>
      <c r="AA17" s="152">
        <f t="shared" si="6"/>
      </c>
      <c r="AB17" s="60">
        <f t="shared" si="7"/>
      </c>
      <c r="AC17" s="60">
        <f t="shared" si="8"/>
        <v>0</v>
      </c>
      <c r="AD17" s="60">
        <f t="shared" si="9"/>
      </c>
      <c r="AE17" s="153">
        <f t="shared" si="27"/>
      </c>
      <c r="AF17" s="152">
        <f t="shared" si="28"/>
      </c>
      <c r="AG17" s="60">
        <f t="shared" si="10"/>
      </c>
      <c r="AH17" s="155">
        <f t="shared" si="29"/>
      </c>
      <c r="AI17" s="137">
        <f t="shared" si="11"/>
      </c>
      <c r="AJ17" s="60">
        <f t="shared" si="12"/>
      </c>
      <c r="AK17" s="152">
        <f t="shared" si="13"/>
        <v>0</v>
      </c>
      <c r="AL17" s="152">
        <f t="shared" si="14"/>
      </c>
      <c r="AM17" s="60">
        <f t="shared" si="15"/>
      </c>
      <c r="AN17" s="60">
        <f t="shared" si="16"/>
        <v>0</v>
      </c>
      <c r="AO17" s="156">
        <f t="shared" si="17"/>
      </c>
      <c r="AP17" s="153">
        <f t="shared" si="30"/>
      </c>
      <c r="AQ17" s="152">
        <f t="shared" si="18"/>
      </c>
      <c r="AR17" s="157">
        <f t="shared" si="19"/>
      </c>
      <c r="AS17" s="60"/>
    </row>
    <row r="18" spans="1:45" ht="12.75">
      <c r="A18" s="17" t="s">
        <v>48</v>
      </c>
      <c r="B18" s="17"/>
      <c r="C18" s="17"/>
      <c r="D18" s="17"/>
      <c r="E18" s="17"/>
      <c r="F18" s="119"/>
      <c r="G18" s="62"/>
      <c r="H18" s="49">
        <f>SUM(H13)</f>
        <v>0</v>
      </c>
      <c r="I18" s="44">
        <f>MAX(F18-H18,0)</f>
        <v>0</v>
      </c>
      <c r="J18" s="44"/>
      <c r="K18" s="17"/>
      <c r="L18" s="132">
        <f t="shared" si="20"/>
      </c>
      <c r="M18" s="351">
        <f t="shared" si="0"/>
      </c>
      <c r="N18" s="331">
        <f t="shared" si="1"/>
      </c>
      <c r="O18" s="358">
        <f t="shared" si="21"/>
        <v>0</v>
      </c>
      <c r="P18" s="358">
        <f t="shared" si="22"/>
        <v>0</v>
      </c>
      <c r="Q18" s="331">
        <f t="shared" si="23"/>
      </c>
      <c r="R18" s="349">
        <f t="shared" si="24"/>
        <v>0</v>
      </c>
      <c r="S18" s="349">
        <f t="shared" si="25"/>
      </c>
      <c r="T18" s="153">
        <f>IF(Q18="","",IF(L18&lt;2008,100%,LOOKUP(L18,$P$1:$P$5,$Q$1:Q$5)))</f>
      </c>
      <c r="U18" s="154">
        <f aca="true" t="shared" si="31" ref="U18:U42">IF(Q18="","",IF(T18=13%,Q18*T18/30,(R18+S18)*T18))</f>
      </c>
      <c r="V18" s="316">
        <f t="shared" si="2"/>
      </c>
      <c r="W18" s="155">
        <f t="shared" si="26"/>
      </c>
      <c r="X18" s="137">
        <f t="shared" si="3"/>
      </c>
      <c r="Y18" s="60">
        <f t="shared" si="4"/>
      </c>
      <c r="Z18" s="152">
        <f t="shared" si="5"/>
        <v>0</v>
      </c>
      <c r="AA18" s="152">
        <f t="shared" si="6"/>
      </c>
      <c r="AB18" s="60">
        <f t="shared" si="7"/>
      </c>
      <c r="AC18" s="60">
        <f t="shared" si="8"/>
        <v>0</v>
      </c>
      <c r="AD18" s="60">
        <f t="shared" si="9"/>
      </c>
      <c r="AE18" s="153">
        <f t="shared" si="27"/>
      </c>
      <c r="AF18" s="152">
        <f t="shared" si="28"/>
      </c>
      <c r="AG18" s="60">
        <f t="shared" si="10"/>
      </c>
      <c r="AH18" s="155">
        <f t="shared" si="29"/>
      </c>
      <c r="AI18" s="137">
        <f t="shared" si="11"/>
      </c>
      <c r="AJ18" s="60">
        <f t="shared" si="12"/>
      </c>
      <c r="AK18" s="152">
        <f t="shared" si="13"/>
        <v>0</v>
      </c>
      <c r="AL18" s="152">
        <f t="shared" si="14"/>
      </c>
      <c r="AM18" s="60">
        <f t="shared" si="15"/>
      </c>
      <c r="AN18" s="60">
        <f t="shared" si="16"/>
        <v>0</v>
      </c>
      <c r="AO18" s="156">
        <f t="shared" si="17"/>
      </c>
      <c r="AP18" s="153">
        <f t="shared" si="30"/>
      </c>
      <c r="AQ18" s="152">
        <f t="shared" si="18"/>
      </c>
      <c r="AR18" s="157">
        <f t="shared" si="19"/>
      </c>
      <c r="AS18" s="60"/>
    </row>
    <row r="19" spans="1:45" ht="12.75">
      <c r="A19" s="17" t="s">
        <v>49</v>
      </c>
      <c r="B19" s="17"/>
      <c r="C19" s="17"/>
      <c r="D19" s="17"/>
      <c r="E19" s="17"/>
      <c r="F19" s="122"/>
      <c r="G19" s="49">
        <f>IF(F19="",F18,F18*F19)</f>
        <v>0</v>
      </c>
      <c r="H19" s="17"/>
      <c r="I19" s="17"/>
      <c r="J19" s="17"/>
      <c r="K19" s="17"/>
      <c r="L19" s="132">
        <f t="shared" si="20"/>
      </c>
      <c r="M19" s="351">
        <f t="shared" si="0"/>
      </c>
      <c r="N19" s="331">
        <f t="shared" si="1"/>
      </c>
      <c r="O19" s="358">
        <f t="shared" si="21"/>
        <v>0</v>
      </c>
      <c r="P19" s="358">
        <f t="shared" si="22"/>
        <v>0</v>
      </c>
      <c r="Q19" s="331">
        <f t="shared" si="23"/>
      </c>
      <c r="R19" s="349">
        <f t="shared" si="24"/>
        <v>0</v>
      </c>
      <c r="S19" s="349">
        <f t="shared" si="25"/>
      </c>
      <c r="T19" s="153">
        <f>IF(Q19="","",IF(L19&lt;2008,100%,LOOKUP(L19,$P$1:$P$5,$Q$1:Q$5)))</f>
      </c>
      <c r="U19" s="154">
        <f t="shared" si="31"/>
      </c>
      <c r="V19" s="316">
        <f t="shared" si="2"/>
      </c>
      <c r="W19" s="155">
        <f t="shared" si="26"/>
      </c>
      <c r="X19" s="137">
        <f t="shared" si="3"/>
      </c>
      <c r="Y19" s="60">
        <f t="shared" si="4"/>
      </c>
      <c r="Z19" s="152">
        <f t="shared" si="5"/>
        <v>0</v>
      </c>
      <c r="AA19" s="152">
        <f t="shared" si="6"/>
      </c>
      <c r="AB19" s="60">
        <f t="shared" si="7"/>
      </c>
      <c r="AC19" s="60">
        <f t="shared" si="8"/>
        <v>0</v>
      </c>
      <c r="AD19" s="60">
        <f t="shared" si="9"/>
      </c>
      <c r="AE19" s="153">
        <f t="shared" si="27"/>
      </c>
      <c r="AF19" s="152">
        <f t="shared" si="28"/>
      </c>
      <c r="AG19" s="60">
        <f t="shared" si="10"/>
      </c>
      <c r="AH19" s="155">
        <f t="shared" si="29"/>
      </c>
      <c r="AI19" s="137">
        <f t="shared" si="11"/>
      </c>
      <c r="AJ19" s="60">
        <f t="shared" si="12"/>
      </c>
      <c r="AK19" s="152">
        <f t="shared" si="13"/>
        <v>0</v>
      </c>
      <c r="AL19" s="152">
        <f t="shared" si="14"/>
      </c>
      <c r="AM19" s="60">
        <f t="shared" si="15"/>
      </c>
      <c r="AN19" s="60">
        <f t="shared" si="16"/>
        <v>0</v>
      </c>
      <c r="AO19" s="156">
        <f t="shared" si="17"/>
      </c>
      <c r="AP19" s="153">
        <f t="shared" si="30"/>
      </c>
      <c r="AQ19" s="152">
        <f t="shared" si="18"/>
      </c>
      <c r="AR19" s="157">
        <f t="shared" si="19"/>
      </c>
      <c r="AS19" s="60"/>
    </row>
    <row r="20" spans="1:45" ht="12.75">
      <c r="A20" s="17"/>
      <c r="B20" s="17"/>
      <c r="C20" s="17"/>
      <c r="D20" s="17"/>
      <c r="E20" s="17"/>
      <c r="F20" s="17"/>
      <c r="G20" s="62"/>
      <c r="H20" s="17"/>
      <c r="I20" s="17"/>
      <c r="J20" s="17"/>
      <c r="K20" s="17"/>
      <c r="L20" s="132">
        <f t="shared" si="20"/>
      </c>
      <c r="M20" s="351">
        <f t="shared" si="0"/>
      </c>
      <c r="N20" s="331">
        <f t="shared" si="1"/>
      </c>
      <c r="O20" s="358">
        <f t="shared" si="21"/>
        <v>0</v>
      </c>
      <c r="P20" s="358">
        <f t="shared" si="22"/>
        <v>0</v>
      </c>
      <c r="Q20" s="331">
        <f t="shared" si="23"/>
      </c>
      <c r="R20" s="349">
        <f t="shared" si="24"/>
        <v>0</v>
      </c>
      <c r="S20" s="349">
        <f t="shared" si="25"/>
      </c>
      <c r="T20" s="153">
        <f>IF(Q20="","",IF(L20&lt;2008,100%,LOOKUP(L20,$P$1:$P$5,$Q$1:Q$5)))</f>
      </c>
      <c r="U20" s="154">
        <f t="shared" si="31"/>
      </c>
      <c r="V20" s="316">
        <f t="shared" si="2"/>
      </c>
      <c r="W20" s="155">
        <f t="shared" si="26"/>
      </c>
      <c r="X20" s="137">
        <f t="shared" si="3"/>
      </c>
      <c r="Y20" s="60">
        <f t="shared" si="4"/>
      </c>
      <c r="Z20" s="152">
        <f t="shared" si="5"/>
        <v>0</v>
      </c>
      <c r="AA20" s="152">
        <f t="shared" si="6"/>
      </c>
      <c r="AB20" s="60">
        <f t="shared" si="7"/>
      </c>
      <c r="AC20" s="60">
        <f t="shared" si="8"/>
        <v>0</v>
      </c>
      <c r="AD20" s="60">
        <f t="shared" si="9"/>
      </c>
      <c r="AE20" s="153">
        <f t="shared" si="27"/>
      </c>
      <c r="AF20" s="152">
        <f t="shared" si="28"/>
      </c>
      <c r="AG20" s="60">
        <f t="shared" si="10"/>
      </c>
      <c r="AH20" s="155">
        <f t="shared" si="29"/>
      </c>
      <c r="AI20" s="137">
        <f t="shared" si="11"/>
      </c>
      <c r="AJ20" s="60">
        <f t="shared" si="12"/>
      </c>
      <c r="AK20" s="152">
        <f t="shared" si="13"/>
        <v>0</v>
      </c>
      <c r="AL20" s="152">
        <f t="shared" si="14"/>
      </c>
      <c r="AM20" s="60">
        <f t="shared" si="15"/>
      </c>
      <c r="AN20" s="60">
        <f t="shared" si="16"/>
        <v>0</v>
      </c>
      <c r="AO20" s="156">
        <f t="shared" si="17"/>
      </c>
      <c r="AP20" s="153">
        <f t="shared" si="30"/>
      </c>
      <c r="AQ20" s="152">
        <f t="shared" si="18"/>
      </c>
      <c r="AR20" s="157">
        <f t="shared" si="19"/>
      </c>
      <c r="AS20" s="60"/>
    </row>
    <row r="21" spans="1:45" ht="12.75">
      <c r="A21" s="17" t="s">
        <v>58</v>
      </c>
      <c r="B21" s="17"/>
      <c r="C21" s="17"/>
      <c r="D21" s="17"/>
      <c r="E21" s="17"/>
      <c r="F21" s="119"/>
      <c r="G21" s="17"/>
      <c r="H21" s="142">
        <f>SUM(H13)</f>
        <v>0</v>
      </c>
      <c r="I21" s="137">
        <f>MAX(F21-H21,0)</f>
        <v>0</v>
      </c>
      <c r="J21" s="17"/>
      <c r="K21" s="17"/>
      <c r="L21" s="132">
        <f t="shared" si="20"/>
      </c>
      <c r="M21" s="351">
        <f t="shared" si="0"/>
      </c>
      <c r="N21" s="331">
        <f t="shared" si="1"/>
      </c>
      <c r="O21" s="358">
        <f t="shared" si="21"/>
        <v>0</v>
      </c>
      <c r="P21" s="358">
        <f t="shared" si="22"/>
        <v>0</v>
      </c>
      <c r="Q21" s="331">
        <f t="shared" si="23"/>
      </c>
      <c r="R21" s="349">
        <f t="shared" si="24"/>
        <v>0</v>
      </c>
      <c r="S21" s="349">
        <f t="shared" si="25"/>
      </c>
      <c r="T21" s="153">
        <f>IF(Q21="","",IF(L21&lt;2008,100%,LOOKUP(L21,$P$1:$P$5,$Q$1:Q$5)))</f>
      </c>
      <c r="U21" s="154">
        <f t="shared" si="31"/>
      </c>
      <c r="V21" s="316">
        <f t="shared" si="2"/>
      </c>
      <c r="W21" s="155">
        <f t="shared" si="26"/>
      </c>
      <c r="X21" s="137">
        <f t="shared" si="3"/>
      </c>
      <c r="Y21" s="60">
        <f t="shared" si="4"/>
      </c>
      <c r="Z21" s="152">
        <f t="shared" si="5"/>
        <v>0</v>
      </c>
      <c r="AA21" s="152">
        <f t="shared" si="6"/>
      </c>
      <c r="AB21" s="60">
        <f t="shared" si="7"/>
      </c>
      <c r="AC21" s="60">
        <f t="shared" si="8"/>
        <v>0</v>
      </c>
      <c r="AD21" s="60">
        <f t="shared" si="9"/>
      </c>
      <c r="AE21" s="153">
        <f t="shared" si="27"/>
      </c>
      <c r="AF21" s="152">
        <f t="shared" si="28"/>
      </c>
      <c r="AG21" s="60">
        <f t="shared" si="10"/>
      </c>
      <c r="AH21" s="155">
        <f t="shared" si="29"/>
      </c>
      <c r="AI21" s="137">
        <f t="shared" si="11"/>
      </c>
      <c r="AJ21" s="60">
        <f t="shared" si="12"/>
      </c>
      <c r="AK21" s="152">
        <f t="shared" si="13"/>
        <v>0</v>
      </c>
      <c r="AL21" s="152">
        <f t="shared" si="14"/>
      </c>
      <c r="AM21" s="60">
        <f t="shared" si="15"/>
      </c>
      <c r="AN21" s="60">
        <f t="shared" si="16"/>
        <v>0</v>
      </c>
      <c r="AO21" s="156">
        <f t="shared" si="17"/>
      </c>
      <c r="AP21" s="153">
        <f t="shared" si="30"/>
      </c>
      <c r="AQ21" s="152">
        <f t="shared" si="18"/>
      </c>
      <c r="AR21" s="157">
        <f t="shared" si="19"/>
      </c>
      <c r="AS21" s="60"/>
    </row>
    <row r="22" spans="1:45" ht="12.75">
      <c r="A22" s="17"/>
      <c r="B22" s="17"/>
      <c r="C22" s="17"/>
      <c r="D22" s="58" t="s">
        <v>69</v>
      </c>
      <c r="E22" s="17"/>
      <c r="F22" s="17"/>
      <c r="G22" s="17"/>
      <c r="H22" s="17"/>
      <c r="I22" s="17"/>
      <c r="J22" s="17"/>
      <c r="K22" s="17"/>
      <c r="L22" s="132">
        <f t="shared" si="20"/>
      </c>
      <c r="M22" s="351">
        <f t="shared" si="0"/>
      </c>
      <c r="N22" s="331">
        <f t="shared" si="1"/>
      </c>
      <c r="O22" s="358">
        <f t="shared" si="21"/>
        <v>0</v>
      </c>
      <c r="P22" s="358">
        <f t="shared" si="22"/>
        <v>0</v>
      </c>
      <c r="Q22" s="331">
        <f t="shared" si="23"/>
      </c>
      <c r="R22" s="349">
        <f t="shared" si="24"/>
        <v>0</v>
      </c>
      <c r="S22" s="349">
        <f t="shared" si="25"/>
      </c>
      <c r="T22" s="153">
        <f>IF(Q22="","",IF(L22&lt;2008,100%,LOOKUP(L22,$P$1:$P$5,$Q$1:Q$5)))</f>
      </c>
      <c r="U22" s="154">
        <f t="shared" si="31"/>
      </c>
      <c r="V22" s="316">
        <f t="shared" si="2"/>
      </c>
      <c r="W22" s="155">
        <f t="shared" si="26"/>
      </c>
      <c r="X22" s="137">
        <f t="shared" si="3"/>
      </c>
      <c r="Y22" s="60">
        <f t="shared" si="4"/>
      </c>
      <c r="Z22" s="152">
        <f t="shared" si="5"/>
        <v>0</v>
      </c>
      <c r="AA22" s="152">
        <f t="shared" si="6"/>
      </c>
      <c r="AB22" s="60">
        <f t="shared" si="7"/>
      </c>
      <c r="AC22" s="60">
        <f t="shared" si="8"/>
        <v>0</v>
      </c>
      <c r="AD22" s="60">
        <f t="shared" si="9"/>
      </c>
      <c r="AE22" s="153">
        <f t="shared" si="27"/>
      </c>
      <c r="AF22" s="152">
        <f t="shared" si="28"/>
      </c>
      <c r="AG22" s="60">
        <f t="shared" si="10"/>
      </c>
      <c r="AH22" s="155">
        <f t="shared" si="29"/>
      </c>
      <c r="AI22" s="137">
        <f t="shared" si="11"/>
      </c>
      <c r="AJ22" s="60">
        <f t="shared" si="12"/>
      </c>
      <c r="AK22" s="152">
        <f t="shared" si="13"/>
        <v>0</v>
      </c>
      <c r="AL22" s="152">
        <f t="shared" si="14"/>
      </c>
      <c r="AM22" s="60">
        <f t="shared" si="15"/>
      </c>
      <c r="AN22" s="60">
        <f t="shared" si="16"/>
        <v>0</v>
      </c>
      <c r="AO22" s="156">
        <f t="shared" si="17"/>
      </c>
      <c r="AP22" s="153">
        <f t="shared" si="30"/>
      </c>
      <c r="AQ22" s="152">
        <f t="shared" si="18"/>
      </c>
      <c r="AR22" s="157">
        <f t="shared" si="19"/>
      </c>
      <c r="AS22" s="60"/>
    </row>
    <row r="23" spans="1:45" ht="12.75">
      <c r="A23" s="17" t="s">
        <v>70</v>
      </c>
      <c r="B23" s="17"/>
      <c r="C23" s="26"/>
      <c r="D23" s="158"/>
      <c r="E23" s="159"/>
      <c r="F23" s="17"/>
      <c r="G23" s="17"/>
      <c r="H23" s="17"/>
      <c r="I23" s="17"/>
      <c r="J23" s="17"/>
      <c r="K23" s="17"/>
      <c r="L23" s="132">
        <f t="shared" si="20"/>
      </c>
      <c r="M23" s="351">
        <f t="shared" si="0"/>
      </c>
      <c r="N23" s="331">
        <f t="shared" si="1"/>
      </c>
      <c r="O23" s="358">
        <f t="shared" si="21"/>
        <v>0</v>
      </c>
      <c r="P23" s="358">
        <f t="shared" si="22"/>
        <v>0</v>
      </c>
      <c r="Q23" s="331">
        <f t="shared" si="23"/>
      </c>
      <c r="R23" s="349">
        <f t="shared" si="24"/>
        <v>0</v>
      </c>
      <c r="S23" s="349">
        <f t="shared" si="25"/>
      </c>
      <c r="T23" s="153">
        <f>IF(Q23="","",IF(L23&lt;2008,100%,LOOKUP(L23,$P$1:$P$5,$Q$1:Q$5)))</f>
      </c>
      <c r="U23" s="154">
        <f t="shared" si="31"/>
      </c>
      <c r="V23" s="316">
        <f t="shared" si="2"/>
      </c>
      <c r="W23" s="155">
        <f t="shared" si="26"/>
      </c>
      <c r="X23" s="137">
        <f t="shared" si="3"/>
      </c>
      <c r="Y23" s="60">
        <f t="shared" si="4"/>
      </c>
      <c r="Z23" s="152">
        <f t="shared" si="5"/>
        <v>0</v>
      </c>
      <c r="AA23" s="152">
        <f t="shared" si="6"/>
      </c>
      <c r="AB23" s="60">
        <f t="shared" si="7"/>
      </c>
      <c r="AC23" s="60">
        <f t="shared" si="8"/>
        <v>0</v>
      </c>
      <c r="AD23" s="60">
        <f t="shared" si="9"/>
      </c>
      <c r="AE23" s="153">
        <f t="shared" si="27"/>
      </c>
      <c r="AF23" s="152">
        <f t="shared" si="28"/>
      </c>
      <c r="AG23" s="60">
        <f t="shared" si="10"/>
      </c>
      <c r="AH23" s="155">
        <f t="shared" si="29"/>
      </c>
      <c r="AI23" s="137">
        <f t="shared" si="11"/>
      </c>
      <c r="AJ23" s="60">
        <f t="shared" si="12"/>
      </c>
      <c r="AK23" s="152">
        <f t="shared" si="13"/>
        <v>0</v>
      </c>
      <c r="AL23" s="152">
        <f t="shared" si="14"/>
      </c>
      <c r="AM23" s="60">
        <f t="shared" si="15"/>
      </c>
      <c r="AN23" s="60">
        <f t="shared" si="16"/>
        <v>0</v>
      </c>
      <c r="AO23" s="156">
        <f t="shared" si="17"/>
      </c>
      <c r="AP23" s="153">
        <f t="shared" si="30"/>
      </c>
      <c r="AQ23" s="152">
        <f t="shared" si="18"/>
      </c>
      <c r="AR23" s="157">
        <f t="shared" si="19"/>
      </c>
      <c r="AS23" s="60"/>
    </row>
    <row r="24" spans="1:45" ht="12.75">
      <c r="A24" s="17" t="s">
        <v>71</v>
      </c>
      <c r="B24" s="17"/>
      <c r="C24" s="26"/>
      <c r="D24" s="160"/>
      <c r="E24" s="17"/>
      <c r="F24" s="17"/>
      <c r="G24" s="17"/>
      <c r="H24" s="17"/>
      <c r="I24" s="17"/>
      <c r="J24" s="17"/>
      <c r="K24" s="17"/>
      <c r="L24" s="132">
        <f t="shared" si="20"/>
      </c>
      <c r="M24" s="351">
        <f t="shared" si="0"/>
      </c>
      <c r="N24" s="331">
        <f t="shared" si="1"/>
      </c>
      <c r="O24" s="358">
        <f t="shared" si="21"/>
        <v>0</v>
      </c>
      <c r="P24" s="358">
        <f t="shared" si="22"/>
        <v>0</v>
      </c>
      <c r="Q24" s="331">
        <f t="shared" si="23"/>
      </c>
      <c r="R24" s="349">
        <f t="shared" si="24"/>
        <v>0</v>
      </c>
      <c r="S24" s="349">
        <f t="shared" si="25"/>
      </c>
      <c r="T24" s="153">
        <f>IF(Q24="","",IF(L24&lt;2008,100%,LOOKUP(L24,$P$1:$P$5,$Q$1:Q$5)))</f>
      </c>
      <c r="U24" s="154">
        <f t="shared" si="31"/>
      </c>
      <c r="V24" s="316">
        <f t="shared" si="2"/>
      </c>
      <c r="W24" s="155">
        <f t="shared" si="26"/>
      </c>
      <c r="X24" s="137">
        <f t="shared" si="3"/>
      </c>
      <c r="Y24" s="60">
        <f t="shared" si="4"/>
      </c>
      <c r="Z24" s="152">
        <f t="shared" si="5"/>
        <v>0</v>
      </c>
      <c r="AA24" s="152">
        <f t="shared" si="6"/>
      </c>
      <c r="AB24" s="60">
        <f t="shared" si="7"/>
      </c>
      <c r="AC24" s="60">
        <f t="shared" si="8"/>
        <v>0</v>
      </c>
      <c r="AD24" s="60">
        <f t="shared" si="9"/>
      </c>
      <c r="AE24" s="153">
        <f t="shared" si="27"/>
      </c>
      <c r="AF24" s="152">
        <f t="shared" si="28"/>
      </c>
      <c r="AG24" s="60">
        <f t="shared" si="10"/>
      </c>
      <c r="AH24" s="155">
        <f t="shared" si="29"/>
      </c>
      <c r="AI24" s="137">
        <f t="shared" si="11"/>
      </c>
      <c r="AJ24" s="60">
        <f t="shared" si="12"/>
      </c>
      <c r="AK24" s="152">
        <f t="shared" si="13"/>
        <v>0</v>
      </c>
      <c r="AL24" s="152">
        <f t="shared" si="14"/>
      </c>
      <c r="AM24" s="60">
        <f t="shared" si="15"/>
      </c>
      <c r="AN24" s="60">
        <f t="shared" si="16"/>
        <v>0</v>
      </c>
      <c r="AO24" s="156">
        <f t="shared" si="17"/>
      </c>
      <c r="AP24" s="153">
        <f t="shared" si="30"/>
      </c>
      <c r="AQ24" s="152">
        <f t="shared" si="18"/>
      </c>
      <c r="AR24" s="157">
        <f t="shared" si="19"/>
      </c>
      <c r="AS24" s="60"/>
    </row>
    <row r="25" spans="1:45" ht="12.75">
      <c r="A25" s="17"/>
      <c r="B25" s="17"/>
      <c r="C25" s="161" t="s">
        <v>66</v>
      </c>
      <c r="D25" s="162">
        <f>IF(D24="",ROUND(4.5%*13/4.5,2),ROUND(D24*13/4.5,2))</f>
        <v>0.13</v>
      </c>
      <c r="E25" s="17"/>
      <c r="F25" s="17"/>
      <c r="G25" s="17"/>
      <c r="H25" s="17"/>
      <c r="I25" s="17"/>
      <c r="J25" s="17"/>
      <c r="K25" s="17"/>
      <c r="L25" s="132">
        <f t="shared" si="20"/>
      </c>
      <c r="M25" s="351">
        <f t="shared" si="0"/>
      </c>
      <c r="N25" s="331">
        <f t="shared" si="1"/>
      </c>
      <c r="O25" s="358">
        <f t="shared" si="21"/>
        <v>0</v>
      </c>
      <c r="P25" s="358">
        <f t="shared" si="22"/>
        <v>0</v>
      </c>
      <c r="Q25" s="331">
        <f t="shared" si="23"/>
      </c>
      <c r="R25" s="349">
        <f t="shared" si="24"/>
        <v>0</v>
      </c>
      <c r="S25" s="349">
        <f t="shared" si="25"/>
      </c>
      <c r="T25" s="153">
        <f>IF(Q25="","",IF(L25&lt;2008,100%,LOOKUP(L25,$P$1:$P$5,$Q$1:Q$5)))</f>
      </c>
      <c r="U25" s="154">
        <f t="shared" si="31"/>
      </c>
      <c r="V25" s="316">
        <f t="shared" si="2"/>
      </c>
      <c r="W25" s="155">
        <f t="shared" si="26"/>
      </c>
      <c r="X25" s="137">
        <f t="shared" si="3"/>
      </c>
      <c r="Y25" s="60">
        <f t="shared" si="4"/>
      </c>
      <c r="Z25" s="152">
        <f t="shared" si="5"/>
        <v>0</v>
      </c>
      <c r="AA25" s="152">
        <f t="shared" si="6"/>
      </c>
      <c r="AB25" s="60">
        <f t="shared" si="7"/>
      </c>
      <c r="AC25" s="60">
        <f t="shared" si="8"/>
        <v>0</v>
      </c>
      <c r="AD25" s="60">
        <f t="shared" si="9"/>
      </c>
      <c r="AE25" s="153">
        <f t="shared" si="27"/>
      </c>
      <c r="AF25" s="152">
        <f t="shared" si="28"/>
      </c>
      <c r="AG25" s="60">
        <f t="shared" si="10"/>
      </c>
      <c r="AH25" s="155">
        <f t="shared" si="29"/>
      </c>
      <c r="AI25" s="137">
        <f t="shared" si="11"/>
      </c>
      <c r="AJ25" s="60">
        <f t="shared" si="12"/>
      </c>
      <c r="AK25" s="152">
        <f t="shared" si="13"/>
        <v>0</v>
      </c>
      <c r="AL25" s="152">
        <f t="shared" si="14"/>
      </c>
      <c r="AM25" s="60">
        <f t="shared" si="15"/>
      </c>
      <c r="AN25" s="60">
        <f t="shared" si="16"/>
        <v>0</v>
      </c>
      <c r="AO25" s="156">
        <f t="shared" si="17"/>
      </c>
      <c r="AP25" s="153">
        <f t="shared" si="30"/>
      </c>
      <c r="AQ25" s="152">
        <f t="shared" si="18"/>
      </c>
      <c r="AR25" s="157">
        <f t="shared" si="19"/>
      </c>
      <c r="AS25" s="60"/>
    </row>
    <row r="26" spans="1:45" ht="12.75">
      <c r="A26" s="17"/>
      <c r="B26" s="17"/>
      <c r="C26" s="163" t="s">
        <v>67</v>
      </c>
      <c r="D26" s="164">
        <f>ROUND(D25+55%,2)</f>
        <v>0.68</v>
      </c>
      <c r="E26" s="17"/>
      <c r="F26" s="17"/>
      <c r="G26" s="17"/>
      <c r="H26" s="165"/>
      <c r="I26" s="138"/>
      <c r="J26" s="17"/>
      <c r="K26" s="17"/>
      <c r="L26" s="132">
        <f t="shared" si="20"/>
      </c>
      <c r="M26" s="351">
        <f t="shared" si="0"/>
      </c>
      <c r="N26" s="331">
        <f t="shared" si="1"/>
      </c>
      <c r="O26" s="358">
        <f t="shared" si="21"/>
        <v>0</v>
      </c>
      <c r="P26" s="358">
        <f t="shared" si="22"/>
        <v>0</v>
      </c>
      <c r="Q26" s="331">
        <f t="shared" si="23"/>
      </c>
      <c r="R26" s="349">
        <f t="shared" si="24"/>
        <v>0</v>
      </c>
      <c r="S26" s="349">
        <f t="shared" si="25"/>
      </c>
      <c r="T26" s="153">
        <f>IF(Q26="","",IF(L26&lt;2008,100%,LOOKUP(L26,$P$1:$P$5,$Q$1:Q$5)))</f>
      </c>
      <c r="U26" s="154">
        <f t="shared" si="31"/>
      </c>
      <c r="V26" s="316">
        <f t="shared" si="2"/>
      </c>
      <c r="W26" s="155">
        <f t="shared" si="26"/>
      </c>
      <c r="X26" s="137">
        <f t="shared" si="3"/>
      </c>
      <c r="Y26" s="60">
        <f t="shared" si="4"/>
      </c>
      <c r="Z26" s="152">
        <f t="shared" si="5"/>
        <v>0</v>
      </c>
      <c r="AA26" s="152">
        <f t="shared" si="6"/>
      </c>
      <c r="AB26" s="60">
        <f t="shared" si="7"/>
      </c>
      <c r="AC26" s="60">
        <f t="shared" si="8"/>
        <v>0</v>
      </c>
      <c r="AD26" s="60">
        <f t="shared" si="9"/>
      </c>
      <c r="AE26" s="153">
        <f t="shared" si="27"/>
      </c>
      <c r="AF26" s="152">
        <f t="shared" si="28"/>
      </c>
      <c r="AG26" s="60">
        <f t="shared" si="10"/>
      </c>
      <c r="AH26" s="155">
        <f t="shared" si="29"/>
      </c>
      <c r="AI26" s="137">
        <f t="shared" si="11"/>
      </c>
      <c r="AJ26" s="60">
        <f t="shared" si="12"/>
      </c>
      <c r="AK26" s="152">
        <f t="shared" si="13"/>
        <v>0</v>
      </c>
      <c r="AL26" s="152">
        <f t="shared" si="14"/>
      </c>
      <c r="AM26" s="60">
        <f t="shared" si="15"/>
      </c>
      <c r="AN26" s="60">
        <f t="shared" si="16"/>
        <v>0</v>
      </c>
      <c r="AO26" s="156">
        <f t="shared" si="17"/>
      </c>
      <c r="AP26" s="153">
        <f t="shared" si="30"/>
      </c>
      <c r="AQ26" s="152">
        <f t="shared" si="18"/>
      </c>
      <c r="AR26" s="157">
        <f t="shared" si="19"/>
      </c>
      <c r="AS26" s="60"/>
    </row>
    <row r="27" spans="1:4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32">
        <f t="shared" si="20"/>
      </c>
      <c r="M27" s="351">
        <f t="shared" si="0"/>
      </c>
      <c r="N27" s="331">
        <f t="shared" si="1"/>
      </c>
      <c r="O27" s="358">
        <f t="shared" si="21"/>
        <v>0</v>
      </c>
      <c r="P27" s="358">
        <f t="shared" si="22"/>
        <v>0</v>
      </c>
      <c r="Q27" s="331">
        <f t="shared" si="23"/>
      </c>
      <c r="R27" s="349">
        <f t="shared" si="24"/>
        <v>0</v>
      </c>
      <c r="S27" s="349">
        <f t="shared" si="25"/>
      </c>
      <c r="T27" s="153">
        <f>IF(Q27="","",IF(L27&lt;2008,100%,LOOKUP(L27,$P$1:$P$5,$Q$1:Q$5)))</f>
      </c>
      <c r="U27" s="154">
        <f t="shared" si="31"/>
      </c>
      <c r="V27" s="316">
        <f t="shared" si="2"/>
      </c>
      <c r="W27" s="155">
        <f t="shared" si="26"/>
      </c>
      <c r="X27" s="137">
        <f t="shared" si="3"/>
      </c>
      <c r="Y27" s="60">
        <f t="shared" si="4"/>
      </c>
      <c r="Z27" s="152">
        <f t="shared" si="5"/>
        <v>0</v>
      </c>
      <c r="AA27" s="152">
        <f t="shared" si="6"/>
      </c>
      <c r="AB27" s="60">
        <f t="shared" si="7"/>
      </c>
      <c r="AC27" s="60">
        <f t="shared" si="8"/>
        <v>0</v>
      </c>
      <c r="AD27" s="60">
        <f t="shared" si="9"/>
      </c>
      <c r="AE27" s="153">
        <f t="shared" si="27"/>
      </c>
      <c r="AF27" s="152">
        <f t="shared" si="28"/>
      </c>
      <c r="AG27" s="60">
        <f t="shared" si="10"/>
      </c>
      <c r="AH27" s="155">
        <f t="shared" si="29"/>
      </c>
      <c r="AI27" s="137">
        <f t="shared" si="11"/>
      </c>
      <c r="AJ27" s="60">
        <f t="shared" si="12"/>
      </c>
      <c r="AK27" s="152">
        <f t="shared" si="13"/>
        <v>0</v>
      </c>
      <c r="AL27" s="152">
        <f t="shared" si="14"/>
      </c>
      <c r="AM27" s="60">
        <f t="shared" si="15"/>
      </c>
      <c r="AN27" s="60">
        <f t="shared" si="16"/>
        <v>0</v>
      </c>
      <c r="AO27" s="156">
        <f t="shared" si="17"/>
      </c>
      <c r="AP27" s="153">
        <f t="shared" si="30"/>
      </c>
      <c r="AQ27" s="152">
        <f t="shared" si="18"/>
      </c>
      <c r="AR27" s="157">
        <f t="shared" si="19"/>
      </c>
      <c r="AS27" s="60"/>
    </row>
    <row r="28" spans="1:45" ht="12.75">
      <c r="A28" s="17"/>
      <c r="B28" s="17"/>
      <c r="C28" s="17"/>
      <c r="D28" s="58" t="s">
        <v>76</v>
      </c>
      <c r="E28" s="17"/>
      <c r="F28" s="17"/>
      <c r="G28" s="17"/>
      <c r="H28" s="17"/>
      <c r="I28" s="17"/>
      <c r="J28" s="17"/>
      <c r="K28" s="17"/>
      <c r="L28" s="132">
        <f t="shared" si="20"/>
      </c>
      <c r="M28" s="351">
        <f t="shared" si="0"/>
      </c>
      <c r="N28" s="331">
        <f t="shared" si="1"/>
      </c>
      <c r="O28" s="358">
        <f t="shared" si="21"/>
        <v>0</v>
      </c>
      <c r="P28" s="358">
        <f t="shared" si="22"/>
        <v>0</v>
      </c>
      <c r="Q28" s="331">
        <f t="shared" si="23"/>
      </c>
      <c r="R28" s="349">
        <f t="shared" si="24"/>
        <v>0</v>
      </c>
      <c r="S28" s="349">
        <f t="shared" si="25"/>
      </c>
      <c r="T28" s="153">
        <f>IF(Q28="","",IF(L28&lt;2008,100%,LOOKUP(L28,$P$1:$P$5,$Q$1:Q$5)))</f>
      </c>
      <c r="U28" s="154">
        <f t="shared" si="31"/>
      </c>
      <c r="V28" s="316">
        <f t="shared" si="2"/>
      </c>
      <c r="W28" s="155">
        <f t="shared" si="26"/>
      </c>
      <c r="X28" s="137">
        <f t="shared" si="3"/>
      </c>
      <c r="Y28" s="60">
        <f t="shared" si="4"/>
      </c>
      <c r="Z28" s="152">
        <f t="shared" si="5"/>
        <v>0</v>
      </c>
      <c r="AA28" s="152">
        <f t="shared" si="6"/>
      </c>
      <c r="AB28" s="60">
        <f t="shared" si="7"/>
      </c>
      <c r="AC28" s="60">
        <f t="shared" si="8"/>
        <v>0</v>
      </c>
      <c r="AD28" s="60">
        <f t="shared" si="9"/>
      </c>
      <c r="AE28" s="153">
        <f t="shared" si="27"/>
      </c>
      <c r="AF28" s="152">
        <f t="shared" si="28"/>
      </c>
      <c r="AG28" s="60">
        <f t="shared" si="10"/>
      </c>
      <c r="AH28" s="155">
        <f t="shared" si="29"/>
      </c>
      <c r="AI28" s="137">
        <f t="shared" si="11"/>
      </c>
      <c r="AJ28" s="60">
        <f t="shared" si="12"/>
      </c>
      <c r="AK28" s="152">
        <f t="shared" si="13"/>
        <v>0</v>
      </c>
      <c r="AL28" s="152">
        <f t="shared" si="14"/>
      </c>
      <c r="AM28" s="60">
        <f t="shared" si="15"/>
      </c>
      <c r="AN28" s="60">
        <f t="shared" si="16"/>
        <v>0</v>
      </c>
      <c r="AO28" s="156">
        <f t="shared" si="17"/>
      </c>
      <c r="AP28" s="153">
        <f t="shared" si="30"/>
      </c>
      <c r="AQ28" s="152">
        <f t="shared" si="18"/>
      </c>
      <c r="AR28" s="157">
        <f t="shared" si="19"/>
      </c>
      <c r="AS28" s="60"/>
    </row>
    <row r="29" spans="1:45" ht="12.75">
      <c r="A29" s="17" t="s">
        <v>70</v>
      </c>
      <c r="B29" s="17"/>
      <c r="C29" s="26"/>
      <c r="D29" s="158"/>
      <c r="E29" s="17"/>
      <c r="F29" s="17"/>
      <c r="G29" s="17"/>
      <c r="H29" s="17"/>
      <c r="I29" s="17"/>
      <c r="J29" s="17"/>
      <c r="K29" s="17"/>
      <c r="L29" s="132">
        <f t="shared" si="20"/>
      </c>
      <c r="M29" s="351">
        <f t="shared" si="0"/>
      </c>
      <c r="N29" s="331">
        <f t="shared" si="1"/>
      </c>
      <c r="O29" s="358">
        <f t="shared" si="21"/>
        <v>0</v>
      </c>
      <c r="P29" s="358">
        <f t="shared" si="22"/>
        <v>0</v>
      </c>
      <c r="Q29" s="331">
        <f t="shared" si="23"/>
      </c>
      <c r="R29" s="349">
        <f t="shared" si="24"/>
        <v>0</v>
      </c>
      <c r="S29" s="349">
        <f t="shared" si="25"/>
      </c>
      <c r="T29" s="153">
        <f>IF(Q29="","",IF(L29&lt;2008,100%,LOOKUP(L29,$P$1:$P$5,$Q$1:Q$5)))</f>
      </c>
      <c r="U29" s="154">
        <f t="shared" si="31"/>
      </c>
      <c r="V29" s="316">
        <f t="shared" si="2"/>
      </c>
      <c r="W29" s="155">
        <f t="shared" si="26"/>
      </c>
      <c r="X29" s="137">
        <f t="shared" si="3"/>
      </c>
      <c r="Y29" s="60">
        <f t="shared" si="4"/>
      </c>
      <c r="Z29" s="152">
        <f t="shared" si="5"/>
        <v>0</v>
      </c>
      <c r="AA29" s="152">
        <f t="shared" si="6"/>
      </c>
      <c r="AB29" s="60">
        <f t="shared" si="7"/>
      </c>
      <c r="AC29" s="60">
        <f t="shared" si="8"/>
        <v>0</v>
      </c>
      <c r="AD29" s="60">
        <f t="shared" si="9"/>
      </c>
      <c r="AE29" s="153">
        <f t="shared" si="27"/>
      </c>
      <c r="AF29" s="152">
        <f t="shared" si="28"/>
      </c>
      <c r="AG29" s="60">
        <f t="shared" si="10"/>
      </c>
      <c r="AH29" s="155">
        <f t="shared" si="29"/>
      </c>
      <c r="AI29" s="137">
        <f t="shared" si="11"/>
      </c>
      <c r="AJ29" s="60">
        <f t="shared" si="12"/>
      </c>
      <c r="AK29" s="152">
        <f t="shared" si="13"/>
        <v>0</v>
      </c>
      <c r="AL29" s="152">
        <f t="shared" si="14"/>
      </c>
      <c r="AM29" s="60">
        <f t="shared" si="15"/>
      </c>
      <c r="AN29" s="60">
        <f t="shared" si="16"/>
        <v>0</v>
      </c>
      <c r="AO29" s="156">
        <f t="shared" si="17"/>
      </c>
      <c r="AP29" s="153">
        <f t="shared" si="30"/>
      </c>
      <c r="AQ29" s="152">
        <f t="shared" si="18"/>
      </c>
      <c r="AR29" s="157">
        <f t="shared" si="19"/>
      </c>
      <c r="AS29" s="60"/>
    </row>
    <row r="30" spans="1:45" ht="12.75">
      <c r="A30" s="17" t="s">
        <v>71</v>
      </c>
      <c r="B30" s="17"/>
      <c r="C30" s="26"/>
      <c r="D30" s="160"/>
      <c r="E30" s="17"/>
      <c r="F30" s="17"/>
      <c r="G30" s="17"/>
      <c r="H30" s="17"/>
      <c r="I30" s="17"/>
      <c r="J30" s="17"/>
      <c r="K30" s="17"/>
      <c r="L30" s="132">
        <f t="shared" si="20"/>
      </c>
      <c r="M30" s="351">
        <f t="shared" si="0"/>
      </c>
      <c r="N30" s="331">
        <f t="shared" si="1"/>
      </c>
      <c r="O30" s="358">
        <f t="shared" si="21"/>
        <v>0</v>
      </c>
      <c r="P30" s="358">
        <f t="shared" si="22"/>
        <v>0</v>
      </c>
      <c r="Q30" s="331">
        <f t="shared" si="23"/>
      </c>
      <c r="R30" s="349">
        <f t="shared" si="24"/>
        <v>0</v>
      </c>
      <c r="S30" s="349">
        <f t="shared" si="25"/>
      </c>
      <c r="T30" s="153">
        <f>IF(Q30="","",IF(L30&lt;2008,100%,LOOKUP(L30,$P$1:$P$5,$Q$1:Q$5)))</f>
      </c>
      <c r="U30" s="154">
        <f t="shared" si="31"/>
      </c>
      <c r="V30" s="316">
        <f t="shared" si="2"/>
      </c>
      <c r="W30" s="155">
        <f t="shared" si="26"/>
      </c>
      <c r="X30" s="137">
        <f t="shared" si="3"/>
      </c>
      <c r="Y30" s="60">
        <f t="shared" si="4"/>
      </c>
      <c r="Z30" s="152">
        <f t="shared" si="5"/>
        <v>0</v>
      </c>
      <c r="AA30" s="152">
        <f t="shared" si="6"/>
      </c>
      <c r="AB30" s="60">
        <f t="shared" si="7"/>
      </c>
      <c r="AC30" s="60">
        <f t="shared" si="8"/>
        <v>0</v>
      </c>
      <c r="AD30" s="60">
        <f t="shared" si="9"/>
      </c>
      <c r="AE30" s="153">
        <f t="shared" si="27"/>
      </c>
      <c r="AF30" s="152">
        <f t="shared" si="28"/>
      </c>
      <c r="AG30" s="60">
        <f t="shared" si="10"/>
      </c>
      <c r="AH30" s="155">
        <f t="shared" si="29"/>
      </c>
      <c r="AI30" s="137">
        <f t="shared" si="11"/>
      </c>
      <c r="AJ30" s="60">
        <f t="shared" si="12"/>
      </c>
      <c r="AK30" s="152">
        <f t="shared" si="13"/>
        <v>0</v>
      </c>
      <c r="AL30" s="152">
        <f t="shared" si="14"/>
      </c>
      <c r="AM30" s="60">
        <f t="shared" si="15"/>
      </c>
      <c r="AN30" s="60">
        <f t="shared" si="16"/>
        <v>0</v>
      </c>
      <c r="AO30" s="156">
        <f t="shared" si="17"/>
      </c>
      <c r="AP30" s="153">
        <f t="shared" si="30"/>
      </c>
      <c r="AQ30" s="152">
        <f t="shared" si="18"/>
      </c>
      <c r="AR30" s="157">
        <f t="shared" si="19"/>
      </c>
      <c r="AS30" s="60"/>
    </row>
    <row r="31" spans="1:45" ht="12.75">
      <c r="A31" s="17"/>
      <c r="B31" s="17"/>
      <c r="C31" s="161" t="s">
        <v>66</v>
      </c>
      <c r="D31" s="162">
        <f>IF(D30="",ROUND(4.5%*13/4.5,2),ROUND(D30*13/4.5,2))</f>
        <v>0.13</v>
      </c>
      <c r="E31" s="138"/>
      <c r="F31" s="17"/>
      <c r="G31" s="17"/>
      <c r="H31" s="17"/>
      <c r="I31" s="17"/>
      <c r="J31" s="17"/>
      <c r="K31" s="17"/>
      <c r="L31" s="132">
        <f t="shared" si="20"/>
      </c>
      <c r="M31" s="351">
        <f t="shared" si="0"/>
      </c>
      <c r="N31" s="331">
        <f t="shared" si="1"/>
      </c>
      <c r="O31" s="358">
        <f t="shared" si="21"/>
        <v>0</v>
      </c>
      <c r="P31" s="358">
        <f t="shared" si="22"/>
        <v>0</v>
      </c>
      <c r="Q31" s="331">
        <f t="shared" si="23"/>
      </c>
      <c r="R31" s="349">
        <f t="shared" si="24"/>
        <v>0</v>
      </c>
      <c r="S31" s="349">
        <f t="shared" si="25"/>
      </c>
      <c r="T31" s="153">
        <f>IF(Q31="","",IF(L31&lt;2008,100%,LOOKUP(L31,$P$1:$P$5,$Q$1:Q$5)))</f>
      </c>
      <c r="U31" s="154">
        <f t="shared" si="31"/>
      </c>
      <c r="V31" s="316">
        <f t="shared" si="2"/>
      </c>
      <c r="W31" s="155">
        <f t="shared" si="26"/>
      </c>
      <c r="X31" s="137">
        <f t="shared" si="3"/>
      </c>
      <c r="Y31" s="60">
        <f t="shared" si="4"/>
      </c>
      <c r="Z31" s="152">
        <f t="shared" si="5"/>
        <v>0</v>
      </c>
      <c r="AA31" s="152">
        <f t="shared" si="6"/>
      </c>
      <c r="AB31" s="60">
        <f t="shared" si="7"/>
      </c>
      <c r="AC31" s="60">
        <f t="shared" si="8"/>
        <v>0</v>
      </c>
      <c r="AD31" s="60">
        <f t="shared" si="9"/>
      </c>
      <c r="AE31" s="153">
        <f t="shared" si="27"/>
      </c>
      <c r="AF31" s="152">
        <f t="shared" si="28"/>
      </c>
      <c r="AG31" s="60">
        <f t="shared" si="10"/>
      </c>
      <c r="AH31" s="155">
        <f t="shared" si="29"/>
      </c>
      <c r="AI31" s="137">
        <f t="shared" si="11"/>
      </c>
      <c r="AJ31" s="60">
        <f t="shared" si="12"/>
      </c>
      <c r="AK31" s="152">
        <f t="shared" si="13"/>
        <v>0</v>
      </c>
      <c r="AL31" s="152">
        <f t="shared" si="14"/>
      </c>
      <c r="AM31" s="60">
        <f t="shared" si="15"/>
      </c>
      <c r="AN31" s="60">
        <f t="shared" si="16"/>
        <v>0</v>
      </c>
      <c r="AO31" s="156">
        <f t="shared" si="17"/>
      </c>
      <c r="AP31" s="153">
        <f t="shared" si="30"/>
      </c>
      <c r="AQ31" s="152">
        <f t="shared" si="18"/>
      </c>
      <c r="AR31" s="157">
        <f t="shared" si="19"/>
      </c>
      <c r="AS31" s="60"/>
    </row>
    <row r="32" spans="1:45" ht="12.75">
      <c r="A32" s="17"/>
      <c r="B32" s="17"/>
      <c r="C32" s="163" t="s">
        <v>67</v>
      </c>
      <c r="D32" s="164">
        <f>ROUND(D31+55%,2)</f>
        <v>0.68</v>
      </c>
      <c r="E32" s="138"/>
      <c r="F32" s="17"/>
      <c r="G32" s="17"/>
      <c r="H32" s="165"/>
      <c r="I32" s="138"/>
      <c r="J32" s="17"/>
      <c r="K32" s="17"/>
      <c r="L32" s="132">
        <f t="shared" si="20"/>
      </c>
      <c r="M32" s="351">
        <f t="shared" si="0"/>
      </c>
      <c r="N32" s="331">
        <f t="shared" si="1"/>
      </c>
      <c r="O32" s="358">
        <f t="shared" si="21"/>
        <v>0</v>
      </c>
      <c r="P32" s="358">
        <f t="shared" si="22"/>
        <v>0</v>
      </c>
      <c r="Q32" s="331">
        <f t="shared" si="23"/>
      </c>
      <c r="R32" s="349">
        <f t="shared" si="24"/>
        <v>0</v>
      </c>
      <c r="S32" s="349">
        <f t="shared" si="25"/>
      </c>
      <c r="T32" s="153">
        <f>IF(Q32="","",IF(L32&lt;2008,100%,LOOKUP(L32,$P$1:$P$5,$Q$1:Q$5)))</f>
      </c>
      <c r="U32" s="154">
        <f t="shared" si="31"/>
      </c>
      <c r="V32" s="316">
        <f t="shared" si="2"/>
      </c>
      <c r="W32" s="155">
        <f t="shared" si="26"/>
      </c>
      <c r="X32" s="137">
        <f t="shared" si="3"/>
      </c>
      <c r="Y32" s="60">
        <f t="shared" si="4"/>
      </c>
      <c r="Z32" s="152">
        <f t="shared" si="5"/>
        <v>0</v>
      </c>
      <c r="AA32" s="152">
        <f t="shared" si="6"/>
      </c>
      <c r="AB32" s="60">
        <f t="shared" si="7"/>
      </c>
      <c r="AC32" s="60">
        <f t="shared" si="8"/>
        <v>0</v>
      </c>
      <c r="AD32" s="60">
        <f t="shared" si="9"/>
      </c>
      <c r="AE32" s="153">
        <f t="shared" si="27"/>
      </c>
      <c r="AF32" s="152">
        <f t="shared" si="28"/>
      </c>
      <c r="AG32" s="60">
        <f t="shared" si="10"/>
      </c>
      <c r="AH32" s="155">
        <f t="shared" si="29"/>
      </c>
      <c r="AI32" s="137">
        <f t="shared" si="11"/>
      </c>
      <c r="AJ32" s="60">
        <f t="shared" si="12"/>
      </c>
      <c r="AK32" s="152">
        <f t="shared" si="13"/>
        <v>0</v>
      </c>
      <c r="AL32" s="152">
        <f t="shared" si="14"/>
      </c>
      <c r="AM32" s="60">
        <f t="shared" si="15"/>
      </c>
      <c r="AN32" s="60">
        <f t="shared" si="16"/>
        <v>0</v>
      </c>
      <c r="AO32" s="156">
        <f t="shared" si="17"/>
      </c>
      <c r="AP32" s="153">
        <f t="shared" si="30"/>
      </c>
      <c r="AQ32" s="152">
        <f t="shared" si="18"/>
      </c>
      <c r="AR32" s="157">
        <f t="shared" si="19"/>
      </c>
      <c r="AS32" s="60"/>
    </row>
    <row r="33" spans="1:45" ht="12.75">
      <c r="A33" s="17"/>
      <c r="B33" s="17"/>
      <c r="C33" s="17"/>
      <c r="D33" s="17"/>
      <c r="E33" s="138"/>
      <c r="F33" s="17"/>
      <c r="G33" s="17"/>
      <c r="H33" s="165"/>
      <c r="I33" s="138"/>
      <c r="J33" s="17"/>
      <c r="K33" s="17"/>
      <c r="L33" s="132">
        <f t="shared" si="20"/>
      </c>
      <c r="M33" s="351">
        <f t="shared" si="0"/>
      </c>
      <c r="N33" s="331">
        <f t="shared" si="1"/>
      </c>
      <c r="O33" s="358">
        <f t="shared" si="21"/>
        <v>0</v>
      </c>
      <c r="P33" s="358">
        <f t="shared" si="22"/>
        <v>0</v>
      </c>
      <c r="Q33" s="331">
        <f t="shared" si="23"/>
      </c>
      <c r="R33" s="349">
        <f t="shared" si="24"/>
        <v>0</v>
      </c>
      <c r="S33" s="349">
        <f t="shared" si="25"/>
      </c>
      <c r="T33" s="153">
        <f>IF(Q33="","",IF(L33&lt;2008,100%,LOOKUP(L33,$P$1:$P$5,$Q$1:Q$5)))</f>
      </c>
      <c r="U33" s="154">
        <f t="shared" si="31"/>
      </c>
      <c r="V33" s="316">
        <f t="shared" si="2"/>
      </c>
      <c r="W33" s="155">
        <f t="shared" si="26"/>
      </c>
      <c r="X33" s="137">
        <f t="shared" si="3"/>
      </c>
      <c r="Y33" s="60">
        <f t="shared" si="4"/>
      </c>
      <c r="Z33" s="152">
        <f t="shared" si="5"/>
        <v>0</v>
      </c>
      <c r="AA33" s="152">
        <f t="shared" si="6"/>
      </c>
      <c r="AB33" s="60">
        <f t="shared" si="7"/>
      </c>
      <c r="AC33" s="60">
        <f t="shared" si="8"/>
        <v>0</v>
      </c>
      <c r="AD33" s="60">
        <f t="shared" si="9"/>
      </c>
      <c r="AE33" s="153">
        <f t="shared" si="27"/>
      </c>
      <c r="AF33" s="152">
        <f t="shared" si="28"/>
      </c>
      <c r="AG33" s="60">
        <f t="shared" si="10"/>
      </c>
      <c r="AH33" s="155">
        <f t="shared" si="29"/>
      </c>
      <c r="AI33" s="137">
        <f t="shared" si="11"/>
      </c>
      <c r="AJ33" s="60">
        <f t="shared" si="12"/>
      </c>
      <c r="AK33" s="152">
        <f t="shared" si="13"/>
        <v>0</v>
      </c>
      <c r="AL33" s="152">
        <f t="shared" si="14"/>
      </c>
      <c r="AM33" s="60">
        <f t="shared" si="15"/>
      </c>
      <c r="AN33" s="60">
        <f t="shared" si="16"/>
        <v>0</v>
      </c>
      <c r="AO33" s="156">
        <f t="shared" si="17"/>
      </c>
      <c r="AP33" s="153">
        <f t="shared" si="30"/>
      </c>
      <c r="AQ33" s="152">
        <f t="shared" si="18"/>
      </c>
      <c r="AR33" s="157">
        <f t="shared" si="19"/>
      </c>
      <c r="AS33" s="60"/>
    </row>
    <row r="34" spans="1:45" ht="12.75">
      <c r="A34" s="166"/>
      <c r="B34" s="44"/>
      <c r="C34" s="44"/>
      <c r="D34" s="167" t="s">
        <v>58</v>
      </c>
      <c r="E34" s="17"/>
      <c r="F34" s="17"/>
      <c r="G34" s="17"/>
      <c r="H34" s="165"/>
      <c r="I34" s="138"/>
      <c r="J34" s="17"/>
      <c r="K34" s="17"/>
      <c r="L34" s="132">
        <f t="shared" si="20"/>
      </c>
      <c r="M34" s="351">
        <f t="shared" si="0"/>
      </c>
      <c r="N34" s="331">
        <f t="shared" si="1"/>
      </c>
      <c r="O34" s="358">
        <f t="shared" si="21"/>
        <v>0</v>
      </c>
      <c r="P34" s="358">
        <f t="shared" si="22"/>
        <v>0</v>
      </c>
      <c r="Q34" s="331">
        <f t="shared" si="23"/>
      </c>
      <c r="R34" s="349">
        <f t="shared" si="24"/>
        <v>0</v>
      </c>
      <c r="S34" s="349">
        <f t="shared" si="25"/>
      </c>
      <c r="T34" s="153">
        <f>IF(Q34="","",IF(L34&lt;2008,100%,LOOKUP(L34,$P$1:$P$5,$Q$1:Q$5)))</f>
      </c>
      <c r="U34" s="154">
        <f t="shared" si="31"/>
      </c>
      <c r="V34" s="316">
        <f t="shared" si="2"/>
      </c>
      <c r="W34" s="155">
        <f t="shared" si="26"/>
      </c>
      <c r="X34" s="137">
        <f t="shared" si="3"/>
      </c>
      <c r="Y34" s="60">
        <f t="shared" si="4"/>
      </c>
      <c r="Z34" s="152">
        <f t="shared" si="5"/>
        <v>0</v>
      </c>
      <c r="AA34" s="152">
        <f t="shared" si="6"/>
      </c>
      <c r="AB34" s="60">
        <f t="shared" si="7"/>
      </c>
      <c r="AC34" s="60">
        <f t="shared" si="8"/>
        <v>0</v>
      </c>
      <c r="AD34" s="60">
        <f t="shared" si="9"/>
      </c>
      <c r="AE34" s="153">
        <f t="shared" si="27"/>
      </c>
      <c r="AF34" s="152">
        <f t="shared" si="28"/>
      </c>
      <c r="AG34" s="60">
        <f t="shared" si="10"/>
      </c>
      <c r="AH34" s="155">
        <f t="shared" si="29"/>
      </c>
      <c r="AI34" s="137">
        <f t="shared" si="11"/>
      </c>
      <c r="AJ34" s="60">
        <f t="shared" si="12"/>
      </c>
      <c r="AK34" s="152">
        <f t="shared" si="13"/>
        <v>0</v>
      </c>
      <c r="AL34" s="152">
        <f t="shared" si="14"/>
      </c>
      <c r="AM34" s="60">
        <f t="shared" si="15"/>
      </c>
      <c r="AN34" s="60">
        <f t="shared" si="16"/>
        <v>0</v>
      </c>
      <c r="AO34" s="156">
        <f t="shared" si="17"/>
      </c>
      <c r="AP34" s="153">
        <f t="shared" si="30"/>
      </c>
      <c r="AQ34" s="152">
        <f t="shared" si="18"/>
      </c>
      <c r="AR34" s="157">
        <f t="shared" si="19"/>
      </c>
      <c r="AS34" s="60"/>
    </row>
    <row r="35" spans="1:45" ht="12.75">
      <c r="A35" s="17" t="s">
        <v>70</v>
      </c>
      <c r="B35" s="17"/>
      <c r="C35" s="26"/>
      <c r="D35" s="158"/>
      <c r="E35" s="17"/>
      <c r="F35" s="17"/>
      <c r="G35" s="17"/>
      <c r="H35" s="165"/>
      <c r="I35" s="138"/>
      <c r="J35" s="17"/>
      <c r="K35" s="17"/>
      <c r="L35" s="132">
        <f t="shared" si="20"/>
      </c>
      <c r="M35" s="351">
        <f t="shared" si="0"/>
      </c>
      <c r="N35" s="331">
        <f t="shared" si="1"/>
      </c>
      <c r="O35" s="358">
        <f t="shared" si="21"/>
        <v>0</v>
      </c>
      <c r="P35" s="358">
        <f t="shared" si="22"/>
        <v>0</v>
      </c>
      <c r="Q35" s="331">
        <f t="shared" si="23"/>
      </c>
      <c r="R35" s="349">
        <f t="shared" si="24"/>
        <v>0</v>
      </c>
      <c r="S35" s="349">
        <f t="shared" si="25"/>
      </c>
      <c r="T35" s="153">
        <f>IF(Q35="","",IF(L35&lt;2008,100%,LOOKUP(L35,$P$1:$P$5,$Q$1:Q$5)))</f>
      </c>
      <c r="U35" s="154">
        <f t="shared" si="31"/>
      </c>
      <c r="V35" s="316">
        <f t="shared" si="2"/>
      </c>
      <c r="W35" s="155">
        <f t="shared" si="26"/>
      </c>
      <c r="X35" s="137">
        <f t="shared" si="3"/>
      </c>
      <c r="Y35" s="60">
        <f t="shared" si="4"/>
      </c>
      <c r="Z35" s="152">
        <f t="shared" si="5"/>
        <v>0</v>
      </c>
      <c r="AA35" s="152">
        <f t="shared" si="6"/>
      </c>
      <c r="AB35" s="60">
        <f t="shared" si="7"/>
      </c>
      <c r="AC35" s="60">
        <f t="shared" si="8"/>
        <v>0</v>
      </c>
      <c r="AD35" s="60">
        <f t="shared" si="9"/>
      </c>
      <c r="AE35" s="153">
        <f t="shared" si="27"/>
      </c>
      <c r="AF35" s="152">
        <f t="shared" si="28"/>
      </c>
      <c r="AG35" s="60">
        <f t="shared" si="10"/>
      </c>
      <c r="AH35" s="155">
        <f t="shared" si="29"/>
      </c>
      <c r="AI35" s="137">
        <f t="shared" si="11"/>
      </c>
      <c r="AJ35" s="60">
        <f t="shared" si="12"/>
      </c>
      <c r="AK35" s="152">
        <f t="shared" si="13"/>
        <v>0</v>
      </c>
      <c r="AL35" s="152">
        <f t="shared" si="14"/>
      </c>
      <c r="AM35" s="60">
        <f t="shared" si="15"/>
      </c>
      <c r="AN35" s="60">
        <f t="shared" si="16"/>
        <v>0</v>
      </c>
      <c r="AO35" s="156">
        <f t="shared" si="17"/>
      </c>
      <c r="AP35" s="153">
        <f t="shared" si="30"/>
      </c>
      <c r="AQ35" s="152">
        <f t="shared" si="18"/>
      </c>
      <c r="AR35" s="157">
        <f t="shared" si="19"/>
      </c>
      <c r="AS35" s="60"/>
    </row>
    <row r="36" spans="1:45" ht="12.75">
      <c r="A36" s="17" t="s">
        <v>71</v>
      </c>
      <c r="B36" s="17"/>
      <c r="C36" s="26"/>
      <c r="D36" s="160"/>
      <c r="E36" s="17"/>
      <c r="F36" s="17"/>
      <c r="G36" s="17"/>
      <c r="H36" s="165"/>
      <c r="I36" s="138"/>
      <c r="J36" s="17"/>
      <c r="K36" s="17"/>
      <c r="L36" s="132">
        <f t="shared" si="20"/>
      </c>
      <c r="M36" s="351">
        <f t="shared" si="0"/>
      </c>
      <c r="N36" s="331">
        <f t="shared" si="1"/>
      </c>
      <c r="O36" s="358">
        <f t="shared" si="21"/>
        <v>0</v>
      </c>
      <c r="P36" s="358">
        <f t="shared" si="22"/>
        <v>0</v>
      </c>
      <c r="Q36" s="331">
        <f t="shared" si="23"/>
      </c>
      <c r="R36" s="349">
        <f t="shared" si="24"/>
        <v>0</v>
      </c>
      <c r="S36" s="349">
        <f t="shared" si="25"/>
      </c>
      <c r="T36" s="153">
        <f>IF(Q36="","",IF(L36&lt;2008,100%,LOOKUP(L36,$P$1:$P$5,$Q$1:Q$5)))</f>
      </c>
      <c r="U36" s="154">
        <f t="shared" si="31"/>
      </c>
      <c r="V36" s="316">
        <f t="shared" si="2"/>
      </c>
      <c r="W36" s="155">
        <f t="shared" si="26"/>
      </c>
      <c r="X36" s="137">
        <f t="shared" si="3"/>
      </c>
      <c r="Y36" s="60">
        <f t="shared" si="4"/>
      </c>
      <c r="Z36" s="152">
        <f t="shared" si="5"/>
        <v>0</v>
      </c>
      <c r="AA36" s="152">
        <f t="shared" si="6"/>
      </c>
      <c r="AB36" s="60">
        <f t="shared" si="7"/>
      </c>
      <c r="AC36" s="60">
        <f t="shared" si="8"/>
        <v>0</v>
      </c>
      <c r="AD36" s="60">
        <f t="shared" si="9"/>
      </c>
      <c r="AE36" s="153">
        <f t="shared" si="27"/>
      </c>
      <c r="AF36" s="152">
        <f t="shared" si="28"/>
      </c>
      <c r="AG36" s="60">
        <f t="shared" si="10"/>
      </c>
      <c r="AH36" s="155">
        <f t="shared" si="29"/>
      </c>
      <c r="AI36" s="137">
        <f t="shared" si="11"/>
      </c>
      <c r="AJ36" s="60">
        <f t="shared" si="12"/>
      </c>
      <c r="AK36" s="152">
        <f t="shared" si="13"/>
        <v>0</v>
      </c>
      <c r="AL36" s="152">
        <f t="shared" si="14"/>
      </c>
      <c r="AM36" s="60">
        <f t="shared" si="15"/>
      </c>
      <c r="AN36" s="60">
        <f t="shared" si="16"/>
        <v>0</v>
      </c>
      <c r="AO36" s="156">
        <f t="shared" si="17"/>
      </c>
      <c r="AP36" s="153">
        <f t="shared" si="30"/>
      </c>
      <c r="AQ36" s="152">
        <f t="shared" si="18"/>
      </c>
      <c r="AR36" s="157">
        <f t="shared" si="19"/>
      </c>
      <c r="AS36" s="60"/>
    </row>
    <row r="37" spans="1:45" ht="12.75">
      <c r="A37" s="17"/>
      <c r="B37" s="17"/>
      <c r="C37" s="161" t="s">
        <v>66</v>
      </c>
      <c r="D37" s="162">
        <f>IF(D36="",ROUND(4.5%*13/4.5,2),ROUND(D36*13/4.5,2))</f>
        <v>0.13</v>
      </c>
      <c r="E37" s="17"/>
      <c r="F37" s="17"/>
      <c r="G37" s="17"/>
      <c r="H37" s="165"/>
      <c r="I37" s="138"/>
      <c r="J37" s="17"/>
      <c r="K37" s="17"/>
      <c r="L37" s="132">
        <f t="shared" si="20"/>
      </c>
      <c r="M37" s="351">
        <f t="shared" si="0"/>
      </c>
      <c r="N37" s="331">
        <f t="shared" si="1"/>
      </c>
      <c r="O37" s="358">
        <f t="shared" si="21"/>
        <v>0</v>
      </c>
      <c r="P37" s="358">
        <f t="shared" si="22"/>
        <v>0</v>
      </c>
      <c r="Q37" s="331">
        <f t="shared" si="23"/>
      </c>
      <c r="R37" s="349">
        <f t="shared" si="24"/>
        <v>0</v>
      </c>
      <c r="S37" s="349">
        <f t="shared" si="25"/>
      </c>
      <c r="T37" s="153">
        <f>IF(Q37="","",IF(L37&lt;2008,100%,LOOKUP(L37,$P$1:$P$5,$Q$1:Q$5)))</f>
      </c>
      <c r="U37" s="154">
        <f t="shared" si="31"/>
      </c>
      <c r="V37" s="316">
        <f t="shared" si="2"/>
      </c>
      <c r="W37" s="155">
        <f t="shared" si="26"/>
      </c>
      <c r="X37" s="137">
        <f t="shared" si="3"/>
      </c>
      <c r="Y37" s="60">
        <f t="shared" si="4"/>
      </c>
      <c r="Z37" s="152">
        <f t="shared" si="5"/>
        <v>0</v>
      </c>
      <c r="AA37" s="152">
        <f t="shared" si="6"/>
      </c>
      <c r="AB37" s="60">
        <f t="shared" si="7"/>
      </c>
      <c r="AC37" s="60">
        <f t="shared" si="8"/>
        <v>0</v>
      </c>
      <c r="AD37" s="60">
        <f t="shared" si="9"/>
      </c>
      <c r="AE37" s="153">
        <f t="shared" si="27"/>
      </c>
      <c r="AF37" s="152">
        <f t="shared" si="28"/>
      </c>
      <c r="AG37" s="60">
        <f t="shared" si="10"/>
      </c>
      <c r="AH37" s="155">
        <f t="shared" si="29"/>
      </c>
      <c r="AI37" s="137">
        <f t="shared" si="11"/>
      </c>
      <c r="AJ37" s="60">
        <f t="shared" si="12"/>
      </c>
      <c r="AK37" s="152">
        <f t="shared" si="13"/>
        <v>0</v>
      </c>
      <c r="AL37" s="152">
        <f t="shared" si="14"/>
      </c>
      <c r="AM37" s="60">
        <f t="shared" si="15"/>
      </c>
      <c r="AN37" s="60">
        <f t="shared" si="16"/>
        <v>0</v>
      </c>
      <c r="AO37" s="156">
        <f t="shared" si="17"/>
      </c>
      <c r="AP37" s="153">
        <f t="shared" si="30"/>
      </c>
      <c r="AQ37" s="152">
        <f t="shared" si="18"/>
      </c>
      <c r="AR37" s="157">
        <f t="shared" si="19"/>
      </c>
      <c r="AS37" s="60"/>
    </row>
    <row r="38" spans="1:45" ht="12.75">
      <c r="A38" s="17"/>
      <c r="B38" s="17"/>
      <c r="C38" s="163" t="s">
        <v>67</v>
      </c>
      <c r="D38" s="164">
        <f>ROUND(D37+55%,2)</f>
        <v>0.68</v>
      </c>
      <c r="E38" s="17"/>
      <c r="F38" s="17"/>
      <c r="G38" s="17"/>
      <c r="H38" s="165"/>
      <c r="I38" s="138"/>
      <c r="J38" s="17"/>
      <c r="K38" s="17"/>
      <c r="L38" s="132">
        <f t="shared" si="20"/>
      </c>
      <c r="M38" s="351">
        <f t="shared" si="0"/>
      </c>
      <c r="N38" s="331">
        <f t="shared" si="1"/>
      </c>
      <c r="O38" s="358">
        <f t="shared" si="21"/>
        <v>0</v>
      </c>
      <c r="P38" s="358">
        <f t="shared" si="22"/>
        <v>0</v>
      </c>
      <c r="Q38" s="331">
        <f t="shared" si="23"/>
      </c>
      <c r="R38" s="349">
        <f t="shared" si="24"/>
        <v>0</v>
      </c>
      <c r="S38" s="349">
        <f t="shared" si="25"/>
      </c>
      <c r="T38" s="153">
        <f>IF(Q38="","",IF(L38&lt;2008,100%,LOOKUP(L38,$P$1:$P$5,$Q$1:Q$5)))</f>
      </c>
      <c r="U38" s="154">
        <f t="shared" si="31"/>
      </c>
      <c r="V38" s="316">
        <f t="shared" si="2"/>
      </c>
      <c r="W38" s="155">
        <f t="shared" si="26"/>
      </c>
      <c r="X38" s="137">
        <f t="shared" si="3"/>
      </c>
      <c r="Y38" s="60">
        <f t="shared" si="4"/>
      </c>
      <c r="Z38" s="152">
        <f t="shared" si="5"/>
        <v>0</v>
      </c>
      <c r="AA38" s="152">
        <f t="shared" si="6"/>
      </c>
      <c r="AB38" s="60">
        <f t="shared" si="7"/>
      </c>
      <c r="AC38" s="60">
        <f t="shared" si="8"/>
        <v>0</v>
      </c>
      <c r="AD38" s="60">
        <f t="shared" si="9"/>
      </c>
      <c r="AE38" s="153">
        <f t="shared" si="27"/>
      </c>
      <c r="AF38" s="152">
        <f t="shared" si="28"/>
      </c>
      <c r="AG38" s="60">
        <f t="shared" si="10"/>
      </c>
      <c r="AH38" s="155">
        <f t="shared" si="29"/>
      </c>
      <c r="AI38" s="137">
        <f t="shared" si="11"/>
      </c>
      <c r="AJ38" s="60">
        <f t="shared" si="12"/>
      </c>
      <c r="AK38" s="152">
        <f t="shared" si="13"/>
        <v>0</v>
      </c>
      <c r="AL38" s="152">
        <f t="shared" si="14"/>
      </c>
      <c r="AM38" s="60">
        <f t="shared" si="15"/>
      </c>
      <c r="AN38" s="60">
        <f t="shared" si="16"/>
        <v>0</v>
      </c>
      <c r="AO38" s="156">
        <f t="shared" si="17"/>
      </c>
      <c r="AP38" s="153">
        <f t="shared" si="30"/>
      </c>
      <c r="AQ38" s="152">
        <f t="shared" si="18"/>
      </c>
      <c r="AR38" s="157">
        <f t="shared" si="19"/>
      </c>
      <c r="AS38" s="60"/>
    </row>
    <row r="39" spans="1:45" ht="12.75">
      <c r="A39" s="17"/>
      <c r="B39" s="17"/>
      <c r="C39" s="17"/>
      <c r="D39" s="17"/>
      <c r="E39" s="17"/>
      <c r="F39" s="17"/>
      <c r="G39" s="17"/>
      <c r="H39" s="165"/>
      <c r="I39" s="138"/>
      <c r="J39" s="17"/>
      <c r="K39" s="17"/>
      <c r="L39" s="132">
        <f t="shared" si="20"/>
      </c>
      <c r="M39" s="351">
        <f t="shared" si="0"/>
      </c>
      <c r="N39" s="331">
        <f t="shared" si="1"/>
      </c>
      <c r="O39" s="358">
        <f t="shared" si="21"/>
        <v>0</v>
      </c>
      <c r="P39" s="358">
        <f t="shared" si="22"/>
        <v>0</v>
      </c>
      <c r="Q39" s="331">
        <f t="shared" si="23"/>
      </c>
      <c r="R39" s="349">
        <f t="shared" si="24"/>
        <v>0</v>
      </c>
      <c r="S39" s="349">
        <f t="shared" si="25"/>
      </c>
      <c r="T39" s="153">
        <f>IF(Q39="","",IF(L39&lt;2008,100%,LOOKUP(L39,$P$1:$P$5,$Q$1:Q$5)))</f>
      </c>
      <c r="U39" s="154">
        <f t="shared" si="31"/>
      </c>
      <c r="V39" s="316">
        <f t="shared" si="2"/>
      </c>
      <c r="W39" s="155">
        <f t="shared" si="26"/>
      </c>
      <c r="X39" s="137">
        <f t="shared" si="3"/>
      </c>
      <c r="Y39" s="60">
        <f t="shared" si="4"/>
      </c>
      <c r="Z39" s="152">
        <f t="shared" si="5"/>
        <v>0</v>
      </c>
      <c r="AA39" s="152">
        <f t="shared" si="6"/>
      </c>
      <c r="AB39" s="60">
        <f t="shared" si="7"/>
      </c>
      <c r="AC39" s="60">
        <f t="shared" si="8"/>
        <v>0</v>
      </c>
      <c r="AD39" s="60">
        <f t="shared" si="9"/>
      </c>
      <c r="AE39" s="153">
        <f t="shared" si="27"/>
      </c>
      <c r="AF39" s="152">
        <f t="shared" si="28"/>
      </c>
      <c r="AG39" s="60">
        <f t="shared" si="10"/>
      </c>
      <c r="AH39" s="155">
        <f t="shared" si="29"/>
      </c>
      <c r="AI39" s="137">
        <f t="shared" si="11"/>
      </c>
      <c r="AJ39" s="60">
        <f t="shared" si="12"/>
      </c>
      <c r="AK39" s="152">
        <f t="shared" si="13"/>
        <v>0</v>
      </c>
      <c r="AL39" s="152">
        <f t="shared" si="14"/>
      </c>
      <c r="AM39" s="60">
        <f t="shared" si="15"/>
      </c>
      <c r="AN39" s="60">
        <f t="shared" si="16"/>
        <v>0</v>
      </c>
      <c r="AO39" s="156">
        <f t="shared" si="17"/>
      </c>
      <c r="AP39" s="153">
        <f t="shared" si="30"/>
      </c>
      <c r="AQ39" s="152">
        <f t="shared" si="18"/>
      </c>
      <c r="AR39" s="157">
        <f t="shared" si="19"/>
      </c>
      <c r="AS39" s="60"/>
    </row>
    <row r="40" spans="1:45" ht="12.75">
      <c r="A40" s="17"/>
      <c r="B40" s="17"/>
      <c r="C40" s="17"/>
      <c r="D40" s="17"/>
      <c r="E40" s="17"/>
      <c r="F40" s="17"/>
      <c r="G40" s="17"/>
      <c r="H40" s="165"/>
      <c r="I40" s="138"/>
      <c r="J40" s="17"/>
      <c r="K40" s="17"/>
      <c r="L40" s="132">
        <f t="shared" si="20"/>
      </c>
      <c r="M40" s="351">
        <f t="shared" si="0"/>
      </c>
      <c r="N40" s="331">
        <f t="shared" si="1"/>
      </c>
      <c r="O40" s="358">
        <f t="shared" si="21"/>
        <v>0</v>
      </c>
      <c r="P40" s="358">
        <f t="shared" si="22"/>
        <v>0</v>
      </c>
      <c r="Q40" s="331">
        <f t="shared" si="23"/>
      </c>
      <c r="R40" s="349">
        <f t="shared" si="24"/>
        <v>0</v>
      </c>
      <c r="S40" s="349">
        <f t="shared" si="25"/>
      </c>
      <c r="T40" s="153">
        <f>IF(Q40="","",IF(L40&lt;2008,100%,LOOKUP(L40,$P$1:$P$5,$Q$1:Q$5)))</f>
      </c>
      <c r="U40" s="154">
        <f t="shared" si="31"/>
      </c>
      <c r="V40" s="316">
        <f t="shared" si="2"/>
      </c>
      <c r="W40" s="155">
        <f t="shared" si="26"/>
      </c>
      <c r="X40" s="137">
        <f t="shared" si="3"/>
      </c>
      <c r="Y40" s="60">
        <f t="shared" si="4"/>
      </c>
      <c r="Z40" s="152">
        <f t="shared" si="5"/>
        <v>0</v>
      </c>
      <c r="AA40" s="152">
        <f t="shared" si="6"/>
      </c>
      <c r="AB40" s="60">
        <f t="shared" si="7"/>
      </c>
      <c r="AC40" s="60">
        <f t="shared" si="8"/>
        <v>0</v>
      </c>
      <c r="AD40" s="60">
        <f t="shared" si="9"/>
      </c>
      <c r="AE40" s="153">
        <f t="shared" si="27"/>
      </c>
      <c r="AF40" s="152">
        <f t="shared" si="28"/>
      </c>
      <c r="AG40" s="60">
        <f t="shared" si="10"/>
      </c>
      <c r="AH40" s="155">
        <f t="shared" si="29"/>
      </c>
      <c r="AI40" s="137">
        <f t="shared" si="11"/>
      </c>
      <c r="AJ40" s="60">
        <f t="shared" si="12"/>
      </c>
      <c r="AK40" s="152">
        <f t="shared" si="13"/>
        <v>0</v>
      </c>
      <c r="AL40" s="152">
        <f t="shared" si="14"/>
      </c>
      <c r="AM40" s="60">
        <f t="shared" si="15"/>
      </c>
      <c r="AN40" s="60">
        <f t="shared" si="16"/>
        <v>0</v>
      </c>
      <c r="AO40" s="156">
        <f t="shared" si="17"/>
      </c>
      <c r="AP40" s="153">
        <f t="shared" si="30"/>
      </c>
      <c r="AQ40" s="152">
        <f t="shared" si="18"/>
      </c>
      <c r="AR40" s="157">
        <f t="shared" si="19"/>
      </c>
      <c r="AS40" s="60"/>
    </row>
    <row r="41" spans="1:45" ht="12.75">
      <c r="A41" s="17"/>
      <c r="B41" s="17"/>
      <c r="C41" s="17"/>
      <c r="D41" s="45" t="s">
        <v>52</v>
      </c>
      <c r="E41" s="138"/>
      <c r="F41" s="168">
        <f>SUM(AG43)</f>
        <v>0</v>
      </c>
      <c r="G41" s="17"/>
      <c r="H41" s="165"/>
      <c r="I41" s="138"/>
      <c r="J41" s="17"/>
      <c r="K41" s="17"/>
      <c r="L41" s="132">
        <f t="shared" si="20"/>
      </c>
      <c r="M41" s="351">
        <f t="shared" si="0"/>
      </c>
      <c r="N41" s="331">
        <f t="shared" si="1"/>
      </c>
      <c r="O41" s="358">
        <f t="shared" si="21"/>
        <v>0</v>
      </c>
      <c r="P41" s="358">
        <f t="shared" si="22"/>
        <v>0</v>
      </c>
      <c r="Q41" s="331">
        <f t="shared" si="23"/>
      </c>
      <c r="R41" s="349">
        <f t="shared" si="24"/>
        <v>0</v>
      </c>
      <c r="S41" s="349">
        <f t="shared" si="25"/>
      </c>
      <c r="T41" s="153">
        <f>IF(Q41="","",IF(L41&lt;2008,100%,LOOKUP(L41,$P$1:$P$5,$Q$1:Q$5)))</f>
      </c>
      <c r="U41" s="154">
        <f t="shared" si="31"/>
      </c>
      <c r="V41" s="316">
        <f t="shared" si="2"/>
      </c>
      <c r="W41" s="155">
        <f t="shared" si="26"/>
      </c>
      <c r="X41" s="137">
        <f t="shared" si="3"/>
      </c>
      <c r="Y41" s="60">
        <f t="shared" si="4"/>
      </c>
      <c r="Z41" s="152">
        <f t="shared" si="5"/>
        <v>0</v>
      </c>
      <c r="AA41" s="152">
        <f t="shared" si="6"/>
      </c>
      <c r="AB41" s="60">
        <f t="shared" si="7"/>
      </c>
      <c r="AC41" s="60">
        <f t="shared" si="8"/>
        <v>0</v>
      </c>
      <c r="AD41" s="60">
        <f t="shared" si="9"/>
      </c>
      <c r="AE41" s="153">
        <f t="shared" si="27"/>
      </c>
      <c r="AF41" s="152">
        <f t="shared" si="28"/>
      </c>
      <c r="AG41" s="60">
        <f t="shared" si="10"/>
      </c>
      <c r="AH41" s="155">
        <f t="shared" si="29"/>
      </c>
      <c r="AI41" s="137">
        <f t="shared" si="11"/>
      </c>
      <c r="AJ41" s="60">
        <f t="shared" si="12"/>
      </c>
      <c r="AK41" s="152">
        <f t="shared" si="13"/>
        <v>0</v>
      </c>
      <c r="AL41" s="152">
        <f t="shared" si="14"/>
      </c>
      <c r="AM41" s="60">
        <f t="shared" si="15"/>
      </c>
      <c r="AN41" s="60">
        <f t="shared" si="16"/>
        <v>0</v>
      </c>
      <c r="AO41" s="156">
        <f t="shared" si="17"/>
      </c>
      <c r="AP41" s="153">
        <f t="shared" si="30"/>
      </c>
      <c r="AQ41" s="152">
        <f t="shared" si="18"/>
      </c>
      <c r="AR41" s="157">
        <f t="shared" si="19"/>
      </c>
      <c r="AS41" s="60"/>
    </row>
    <row r="42" spans="1:45" ht="13.5" thickBot="1">
      <c r="A42" s="17"/>
      <c r="B42" s="17"/>
      <c r="C42" s="17"/>
      <c r="D42" s="45" t="s">
        <v>47</v>
      </c>
      <c r="E42" s="138"/>
      <c r="F42" s="168">
        <f>SUM(V43)</f>
        <v>0</v>
      </c>
      <c r="G42" s="329"/>
      <c r="H42" s="329"/>
      <c r="I42" s="330"/>
      <c r="J42" s="329"/>
      <c r="K42" s="31"/>
      <c r="L42" s="132">
        <f t="shared" si="20"/>
      </c>
      <c r="M42" s="351"/>
      <c r="N42" s="331">
        <f t="shared" si="1"/>
      </c>
      <c r="O42" s="358">
        <f t="shared" si="21"/>
        <v>0</v>
      </c>
      <c r="P42" s="358">
        <f t="shared" si="22"/>
        <v>0</v>
      </c>
      <c r="Q42" s="331">
        <f t="shared" si="23"/>
      </c>
      <c r="R42" s="349">
        <f t="shared" si="24"/>
        <v>0</v>
      </c>
      <c r="S42" s="359">
        <f t="shared" si="25"/>
      </c>
      <c r="T42" s="153">
        <f>IF(Q42="","",IF(L42&lt;2008,100%,LOOKUP(L42,$P$1:$P$5,$Q$1:Q$5)))</f>
      </c>
      <c r="U42" s="171">
        <f t="shared" si="31"/>
      </c>
      <c r="V42" s="316">
        <f t="shared" si="2"/>
      </c>
      <c r="W42" s="155">
        <f t="shared" si="26"/>
      </c>
      <c r="X42" s="137" t="str">
        <f>IF(L42=$F$12,"1:a Inkf",IF(L42=$F$13,"fastst.år",""))</f>
        <v>1:a Inkf</v>
      </c>
      <c r="Y42" s="60">
        <f t="shared" si="4"/>
      </c>
      <c r="Z42" s="152">
        <f t="shared" si="5"/>
        <v>0</v>
      </c>
      <c r="AA42" s="152">
        <f t="shared" si="6"/>
      </c>
      <c r="AB42" s="60">
        <f t="shared" si="7"/>
      </c>
      <c r="AC42" s="60">
        <f t="shared" si="8"/>
        <v>0</v>
      </c>
      <c r="AD42" s="60">
        <f t="shared" si="9"/>
      </c>
      <c r="AE42" s="153">
        <f t="shared" si="27"/>
      </c>
      <c r="AF42" s="152">
        <f t="shared" si="28"/>
      </c>
      <c r="AG42" s="60">
        <f t="shared" si="10"/>
      </c>
      <c r="AH42" s="155">
        <f t="shared" si="29"/>
      </c>
      <c r="AI42" s="137" t="str">
        <f>IF(W42=$F$12,"1:a Inkf",IF(W42=$F$13,"fastst.år",""))</f>
        <v>1:a Inkf</v>
      </c>
      <c r="AJ42" s="60">
        <f t="shared" si="12"/>
      </c>
      <c r="AK42" s="152">
        <f t="shared" si="13"/>
        <v>0</v>
      </c>
      <c r="AL42" s="152">
        <f t="shared" si="14"/>
      </c>
      <c r="AM42" s="60">
        <f t="shared" si="15"/>
      </c>
      <c r="AN42" s="60">
        <f t="shared" si="16"/>
        <v>0</v>
      </c>
      <c r="AO42" s="156">
        <f t="shared" si="17"/>
      </c>
      <c r="AP42" s="153">
        <f t="shared" si="30"/>
      </c>
      <c r="AQ42" s="152">
        <f t="shared" si="18"/>
      </c>
      <c r="AR42" s="157">
        <f t="shared" si="19"/>
      </c>
      <c r="AS42" s="60"/>
    </row>
    <row r="43" spans="1:45" ht="13.5" thickBot="1">
      <c r="A43" s="17"/>
      <c r="B43" s="17"/>
      <c r="C43" s="17"/>
      <c r="D43" s="45" t="s">
        <v>54</v>
      </c>
      <c r="E43" s="138"/>
      <c r="F43" s="168">
        <f>SUM(AR43)</f>
        <v>0</v>
      </c>
      <c r="G43" s="23"/>
      <c r="H43" s="165"/>
      <c r="I43" s="138"/>
      <c r="J43" s="17"/>
      <c r="K43" s="17"/>
      <c r="L43" s="172"/>
      <c r="M43" s="173"/>
      <c r="N43" s="173"/>
      <c r="O43" s="174">
        <f>SUM(O13:O42)</f>
        <v>0</v>
      </c>
      <c r="P43" s="174"/>
      <c r="Q43" s="173"/>
      <c r="R43" s="174">
        <f>SUM(R13:R42)</f>
        <v>0</v>
      </c>
      <c r="S43" s="174">
        <f>SUM(S13:S42)</f>
        <v>0</v>
      </c>
      <c r="T43" s="173"/>
      <c r="U43" s="174">
        <f>SUM(U13:U42)</f>
        <v>0</v>
      </c>
      <c r="V43" s="317">
        <f>SUM(V13:V42)</f>
        <v>0</v>
      </c>
      <c r="W43" s="172"/>
      <c r="X43" s="173"/>
      <c r="Y43" s="173"/>
      <c r="Z43" s="174">
        <f>SUM(Z13:Z42)</f>
        <v>0</v>
      </c>
      <c r="AA43" s="174">
        <f>SUM(AA13:AA42)</f>
        <v>0</v>
      </c>
      <c r="AB43" s="173"/>
      <c r="AC43" s="174">
        <f>SUM(AC13:AC42)</f>
        <v>0</v>
      </c>
      <c r="AD43" s="174">
        <f>SUM(AD13:AD42)</f>
        <v>0</v>
      </c>
      <c r="AE43" s="173"/>
      <c r="AF43" s="174">
        <f>SUM(AF13:AF42)</f>
        <v>0</v>
      </c>
      <c r="AG43" s="175">
        <f>SUM(AG13:AG42)</f>
        <v>0</v>
      </c>
      <c r="AH43" s="172"/>
      <c r="AI43" s="173"/>
      <c r="AJ43" s="173"/>
      <c r="AK43" s="174">
        <f>SUM(AK13:AK42)</f>
        <v>0</v>
      </c>
      <c r="AL43" s="174">
        <f>SUM(AL13:AL42)</f>
        <v>0</v>
      </c>
      <c r="AM43" s="173"/>
      <c r="AN43" s="174">
        <f>SUM(AN13:AN42)</f>
        <v>0</v>
      </c>
      <c r="AO43" s="174">
        <f>SUM(AO13:AO42)</f>
        <v>0</v>
      </c>
      <c r="AP43" s="173"/>
      <c r="AQ43" s="174">
        <f>SUM(AQ13:AQ42)</f>
        <v>0</v>
      </c>
      <c r="AR43" s="176">
        <f>SUM(AR13:AR42)</f>
        <v>0</v>
      </c>
      <c r="AS43" s="17"/>
    </row>
    <row r="44" spans="1:45" ht="13.5" thickBot="1">
      <c r="A44" s="17"/>
      <c r="B44" s="17"/>
      <c r="C44" s="165"/>
      <c r="D44" s="138"/>
      <c r="E44" s="17"/>
      <c r="F44" s="17"/>
      <c r="G44" s="17"/>
      <c r="H44" s="165"/>
      <c r="I44" s="138"/>
      <c r="J44" s="17"/>
      <c r="K44" s="17"/>
      <c r="L44" s="17"/>
      <c r="M44" s="17"/>
      <c r="N44" s="17"/>
      <c r="O44" s="17"/>
      <c r="P44" s="17"/>
      <c r="Q44" s="123"/>
      <c r="R44" s="123"/>
      <c r="S44" s="123"/>
      <c r="T44" s="17"/>
      <c r="U44" s="17"/>
      <c r="V44" s="17"/>
      <c r="W44" s="60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71"/>
      <c r="AM44" s="71"/>
      <c r="AN44" s="17"/>
      <c r="AO44" s="17"/>
      <c r="AP44" s="152"/>
      <c r="AQ44" s="60"/>
      <c r="AR44" s="17"/>
      <c r="AS44" s="17"/>
    </row>
    <row r="45" spans="1:45" ht="13.5" thickBot="1">
      <c r="A45" s="17"/>
      <c r="B45" s="45"/>
      <c r="C45" s="45" t="s">
        <v>78</v>
      </c>
      <c r="D45" s="169"/>
      <c r="E45" s="17"/>
      <c r="F45" s="170">
        <f>SUM(F41-F42-F43)</f>
        <v>0</v>
      </c>
      <c r="G45" s="17"/>
      <c r="H45" s="17"/>
      <c r="I45" s="80"/>
      <c r="J45" s="17"/>
      <c r="K45" s="17"/>
      <c r="L45" s="17"/>
      <c r="M45" s="68">
        <v>0</v>
      </c>
      <c r="N45" s="60"/>
      <c r="O45" s="177"/>
      <c r="P45" s="177"/>
      <c r="Q45" s="60"/>
      <c r="R45" s="60"/>
      <c r="S45" s="60"/>
      <c r="T45" s="76"/>
      <c r="U45" s="23"/>
      <c r="V45" s="178"/>
      <c r="W45" s="17"/>
      <c r="X45" s="179"/>
      <c r="Y45" s="29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60"/>
      <c r="AK45" s="60"/>
      <c r="AL45" s="60"/>
      <c r="AM45" s="60"/>
      <c r="AN45" s="76"/>
      <c r="AO45" s="17"/>
      <c r="AP45" s="180"/>
      <c r="AQ45" s="17"/>
      <c r="AR45" s="179"/>
      <c r="AS45" s="29"/>
    </row>
    <row r="46" spans="1:45" ht="12.75">
      <c r="A46" s="28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60"/>
      <c r="O46" s="60"/>
      <c r="P46" s="60"/>
      <c r="Q46" s="17"/>
      <c r="R46" s="181"/>
      <c r="S46" s="17"/>
      <c r="T46" s="17"/>
      <c r="U46" s="60"/>
      <c r="V46" s="178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8"/>
      <c r="AQ46" s="17"/>
      <c r="AR46" s="17"/>
      <c r="AS46" s="17"/>
    </row>
    <row r="47" spans="1:45" ht="12.75">
      <c r="A47" s="28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</row>
    <row r="48" spans="1:11" ht="12.75">
      <c r="A48" s="17" t="s">
        <v>74</v>
      </c>
      <c r="B48" s="17"/>
      <c r="C48" s="310">
        <f ca="1">TODAY()</f>
        <v>45365</v>
      </c>
      <c r="D48" s="17"/>
      <c r="E48" s="17"/>
      <c r="F48" s="17"/>
      <c r="G48" s="17"/>
      <c r="H48" s="17"/>
      <c r="I48" s="17"/>
      <c r="J48" s="17"/>
      <c r="K48" s="17"/>
    </row>
    <row r="49" spans="1:1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2.75">
      <c r="A50" s="17"/>
      <c r="B50" s="17"/>
      <c r="C50" s="17"/>
      <c r="D50" s="17"/>
      <c r="E50" s="17"/>
      <c r="F50" s="17"/>
      <c r="G50" s="17"/>
      <c r="H50" s="17"/>
      <c r="I50" s="133" t="s">
        <v>172</v>
      </c>
      <c r="J50" s="17"/>
      <c r="K50" s="17"/>
    </row>
    <row r="52" ht="12.75">
      <c r="A52" s="337"/>
    </row>
  </sheetData>
  <sheetProtection password="C248" sheet="1" objects="1" scenarios="1"/>
  <mergeCells count="3">
    <mergeCell ref="D2:F2"/>
    <mergeCell ref="D4:F4"/>
    <mergeCell ref="D6:F6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5.42187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0.28125" style="0" customWidth="1"/>
    <col min="7" max="7" width="4.421875" style="0" customWidth="1"/>
    <col min="8" max="8" width="6.7109375" style="0" customWidth="1"/>
    <col min="10" max="10" width="12.57421875" style="0" customWidth="1"/>
    <col min="13" max="13" width="9.57421875" style="0" customWidth="1"/>
  </cols>
  <sheetData>
    <row r="1" spans="1:14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52</v>
      </c>
      <c r="L1" s="17"/>
      <c r="M1" s="17"/>
      <c r="N1" s="17"/>
    </row>
    <row r="2" spans="1:14" ht="12.75">
      <c r="A2" s="17"/>
      <c r="B2" s="17" t="s">
        <v>28</v>
      </c>
      <c r="C2" s="395"/>
      <c r="D2" s="39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219" t="s">
        <v>36</v>
      </c>
      <c r="M3" s="17" t="s">
        <v>96</v>
      </c>
      <c r="N3" s="60">
        <f>SUM(K8)</f>
        <v>0</v>
      </c>
    </row>
    <row r="4" spans="1:14" ht="12.75">
      <c r="A4" s="17"/>
      <c r="B4" s="17" t="s">
        <v>29</v>
      </c>
      <c r="C4" s="395"/>
      <c r="D4" s="397"/>
      <c r="E4" s="17"/>
      <c r="F4" s="17"/>
      <c r="G4" s="17"/>
      <c r="H4" s="17"/>
      <c r="I4" s="17" t="s">
        <v>40</v>
      </c>
      <c r="J4" s="17"/>
      <c r="K4" s="67">
        <f>SUM(D9)</f>
        <v>0</v>
      </c>
      <c r="L4" s="251">
        <f>SUM(K4+65)</f>
        <v>65</v>
      </c>
      <c r="M4" s="17" t="s">
        <v>38</v>
      </c>
      <c r="N4" s="250">
        <f>SUM(L6)</f>
        <v>0</v>
      </c>
    </row>
    <row r="5" spans="1:14" ht="12.75">
      <c r="A5" s="17"/>
      <c r="B5" s="17"/>
      <c r="C5" s="17"/>
      <c r="D5" s="17"/>
      <c r="E5" s="17"/>
      <c r="F5" s="17"/>
      <c r="G5" s="17"/>
      <c r="H5" s="17"/>
      <c r="I5" s="17" t="s">
        <v>37</v>
      </c>
      <c r="J5" s="17"/>
      <c r="K5" s="67">
        <f>SUM(D10)</f>
        <v>0</v>
      </c>
      <c r="L5" s="219" t="s">
        <v>38</v>
      </c>
      <c r="M5" s="17" t="s">
        <v>61</v>
      </c>
      <c r="N5" s="60">
        <f>MAX(N3-N4,0)</f>
        <v>0</v>
      </c>
    </row>
    <row r="6" spans="1:14" ht="12.75">
      <c r="A6" s="17"/>
      <c r="B6" s="17" t="s">
        <v>30</v>
      </c>
      <c r="C6" s="395"/>
      <c r="D6" s="397"/>
      <c r="E6" s="17"/>
      <c r="F6" s="17"/>
      <c r="G6" s="17"/>
      <c r="H6" s="17"/>
      <c r="I6" s="17" t="s">
        <v>84</v>
      </c>
      <c r="J6" s="17"/>
      <c r="K6" s="63">
        <f>SUM(D11)</f>
        <v>0</v>
      </c>
      <c r="L6" s="252">
        <f>SUM(K6*7.5)</f>
        <v>0</v>
      </c>
      <c r="M6" s="253">
        <f>SUM(K7)</f>
        <v>30</v>
      </c>
      <c r="N6" s="60">
        <f>IF(N5=0,"",N5/30)</f>
      </c>
    </row>
    <row r="7" spans="1:1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67">
        <v>30</v>
      </c>
      <c r="L7" s="17"/>
      <c r="M7" s="17"/>
      <c r="N7" s="17"/>
    </row>
    <row r="8" spans="1:14" ht="12.75">
      <c r="A8" s="50" t="s">
        <v>97</v>
      </c>
      <c r="B8" s="45"/>
      <c r="C8" s="17"/>
      <c r="D8" s="17"/>
      <c r="E8" s="17"/>
      <c r="F8" s="17"/>
      <c r="G8" s="17"/>
      <c r="H8" s="17"/>
      <c r="I8" s="17" t="s">
        <v>98</v>
      </c>
      <c r="J8" s="17"/>
      <c r="K8" s="63">
        <f>SUM(D20)</f>
        <v>0</v>
      </c>
      <c r="L8" s="17" t="s">
        <v>66</v>
      </c>
      <c r="M8" s="71">
        <v>0.13</v>
      </c>
      <c r="N8" s="17"/>
    </row>
    <row r="9" spans="1:14" ht="12.75">
      <c r="A9" s="17"/>
      <c r="B9" s="17"/>
      <c r="C9" s="59" t="s">
        <v>93</v>
      </c>
      <c r="D9" s="73"/>
      <c r="E9" s="17"/>
      <c r="F9" s="17"/>
      <c r="G9" s="17"/>
      <c r="H9" s="17"/>
      <c r="I9" s="17" t="s">
        <v>99</v>
      </c>
      <c r="J9" s="17"/>
      <c r="K9" s="67">
        <f>SUM(E16)</f>
        <v>0</v>
      </c>
      <c r="L9" s="17" t="s">
        <v>67</v>
      </c>
      <c r="M9" s="71">
        <f>SUM((K10*13/4.5)+55%)</f>
        <v>0.55</v>
      </c>
      <c r="N9" s="17"/>
    </row>
    <row r="10" spans="1:14" ht="12.75">
      <c r="A10" s="17"/>
      <c r="B10" s="17"/>
      <c r="C10" s="17" t="s">
        <v>37</v>
      </c>
      <c r="D10" s="73"/>
      <c r="E10" s="258" t="s">
        <v>38</v>
      </c>
      <c r="F10" s="17"/>
      <c r="G10" s="17"/>
      <c r="H10" s="17"/>
      <c r="I10" s="17" t="s">
        <v>100</v>
      </c>
      <c r="J10" s="17"/>
      <c r="K10" s="260">
        <f>SUM(E17)</f>
        <v>0</v>
      </c>
      <c r="L10" s="17"/>
      <c r="M10" s="17"/>
      <c r="N10" s="17"/>
    </row>
    <row r="11" spans="1:14" ht="12.75">
      <c r="A11" s="17"/>
      <c r="B11" s="17"/>
      <c r="C11" s="17" t="s">
        <v>101</v>
      </c>
      <c r="D11" s="68">
        <f>IF(D10="",0,LOOKUP(D10,Basbelopp!A4:A66,Basbelopp!B4:B66))</f>
        <v>0</v>
      </c>
      <c r="E11" s="259">
        <f>SUM(D11*7.5)</f>
        <v>0</v>
      </c>
      <c r="F11" s="17"/>
      <c r="G11" s="17"/>
      <c r="H11" s="17"/>
      <c r="I11" s="17"/>
      <c r="J11" s="98"/>
      <c r="K11" s="261" t="s">
        <v>66</v>
      </c>
      <c r="L11" s="99"/>
      <c r="M11" s="100" t="s">
        <v>67</v>
      </c>
      <c r="N11" s="17"/>
    </row>
    <row r="12" spans="1:14" ht="12.75">
      <c r="A12" s="17"/>
      <c r="B12" s="17"/>
      <c r="C12" s="17"/>
      <c r="D12" s="185"/>
      <c r="E12" s="17"/>
      <c r="F12" s="17"/>
      <c r="G12" s="17"/>
      <c r="H12" s="17"/>
      <c r="I12" s="17"/>
      <c r="J12" s="254">
        <v>0.13</v>
      </c>
      <c r="K12" s="224">
        <f>IF($N$5=0,$N$3*J12/30,$N$4*J12/30)</f>
        <v>0</v>
      </c>
      <c r="L12" s="123">
        <f>SUM(J12+55%)</f>
        <v>0.68</v>
      </c>
      <c r="M12" s="224">
        <f>IF(N6="","",N6*L12)</f>
      </c>
      <c r="N12" s="60"/>
    </row>
    <row r="13" spans="1:14" ht="12.75">
      <c r="A13" s="4" t="s">
        <v>102</v>
      </c>
      <c r="B13" s="4"/>
      <c r="C13" s="4"/>
      <c r="D13" s="4"/>
      <c r="E13" s="4"/>
      <c r="F13" s="4"/>
      <c r="G13" s="4"/>
      <c r="H13" s="4"/>
      <c r="I13" s="17"/>
      <c r="J13" s="255">
        <f>ROUND(K10*13/4.5,2)</f>
        <v>0</v>
      </c>
      <c r="K13" s="224">
        <f>IF($N$5=0,$N$3*J13/30,$N$4*J13/30)</f>
        <v>0</v>
      </c>
      <c r="L13" s="123">
        <f>SUM(J13+55%)</f>
        <v>0.55</v>
      </c>
      <c r="M13" s="224">
        <f>IF(N6="","",N6*L13)</f>
      </c>
      <c r="N13" s="256" t="s">
        <v>57</v>
      </c>
    </row>
    <row r="14" spans="1:14" ht="12.75">
      <c r="A14" s="17"/>
      <c r="B14" s="17"/>
      <c r="C14" s="17"/>
      <c r="D14" s="17"/>
      <c r="E14" s="17"/>
      <c r="F14" s="17"/>
      <c r="G14" s="17"/>
      <c r="H14" s="17"/>
      <c r="I14" s="17"/>
      <c r="J14" s="222">
        <f>IF(K7=0,"",L4-K7+1)</f>
        <v>36</v>
      </c>
      <c r="K14" s="281">
        <f>IF(J14="","",IF($E$17="",$K$12,IF(J14&lt;$K$9,$K$12,$K$13)))</f>
        <v>0</v>
      </c>
      <c r="L14" s="98">
        <f>IF(J14=$K$9,"höjning","")</f>
      </c>
      <c r="M14" s="220">
        <f>IF(J14="","",IF(K$9=0,$M$12,IF(J14&lt;$K$9,$M$12,$M$13)))</f>
      </c>
      <c r="N14" s="220">
        <f>IF(M14="",K14,IF(J14="","",K14+M14))</f>
        <v>0</v>
      </c>
    </row>
    <row r="15" spans="1:14" ht="12.75">
      <c r="A15" s="17"/>
      <c r="B15" s="17"/>
      <c r="C15" s="17"/>
      <c r="D15" s="17"/>
      <c r="E15" s="59"/>
      <c r="F15" s="17"/>
      <c r="G15" s="17"/>
      <c r="H15" s="17"/>
      <c r="I15" s="17"/>
      <c r="J15" s="222">
        <f>IF(J14&lt;$L$4,J14+1,"")</f>
        <v>37</v>
      </c>
      <c r="K15" s="61">
        <f aca="true" t="shared" si="0" ref="K15:K43">IF(J15="","",IF($E$17="",$K$12,IF(J15&lt;$K$9,$K$12,$K$13)))</f>
        <v>0</v>
      </c>
      <c r="L15" s="222">
        <f aca="true" t="shared" si="1" ref="L15:L43">IF(J15=$K$9,"höjning","")</f>
      </c>
      <c r="M15" s="224">
        <f aca="true" t="shared" si="2" ref="M15:M43">IF(J15="","",IF(K$9=0,$M$12,IF(J15&lt;$K$9,$M$12,$M$13)))</f>
      </c>
      <c r="N15" s="224">
        <f aca="true" t="shared" si="3" ref="N15:N43">IF(M15="",K15,IF(J15="","",K15+M15))</f>
        <v>0</v>
      </c>
    </row>
    <row r="16" spans="1:14" ht="12.75">
      <c r="A16" s="17"/>
      <c r="B16" s="17"/>
      <c r="C16" s="17"/>
      <c r="D16" s="17"/>
      <c r="E16" s="59"/>
      <c r="F16" s="17"/>
      <c r="G16" s="17"/>
      <c r="H16" s="17"/>
      <c r="I16" s="17"/>
      <c r="J16" s="222">
        <f aca="true" t="shared" si="4" ref="J16:J43">IF(J15&lt;$L$4,J15+1,"")</f>
        <v>38</v>
      </c>
      <c r="K16" s="61">
        <f t="shared" si="0"/>
        <v>0</v>
      </c>
      <c r="L16" s="222">
        <f t="shared" si="1"/>
      </c>
      <c r="M16" s="224">
        <f t="shared" si="2"/>
      </c>
      <c r="N16" s="224">
        <f t="shared" si="3"/>
        <v>0</v>
      </c>
    </row>
    <row r="17" spans="1:14" ht="12.75">
      <c r="A17" s="4"/>
      <c r="B17" s="4"/>
      <c r="C17" s="17"/>
      <c r="D17" s="4"/>
      <c r="E17" s="295"/>
      <c r="F17" s="4"/>
      <c r="G17" s="17"/>
      <c r="H17" s="4"/>
      <c r="I17" s="17"/>
      <c r="J17" s="222">
        <f t="shared" si="4"/>
        <v>39</v>
      </c>
      <c r="K17" s="61">
        <f t="shared" si="0"/>
        <v>0</v>
      </c>
      <c r="L17" s="222">
        <f t="shared" si="1"/>
      </c>
      <c r="M17" s="224">
        <f t="shared" si="2"/>
      </c>
      <c r="N17" s="224">
        <f t="shared" si="3"/>
        <v>0</v>
      </c>
    </row>
    <row r="18" spans="1:14" ht="12.75">
      <c r="A18" s="4"/>
      <c r="B18" s="4"/>
      <c r="C18" s="17"/>
      <c r="D18" s="24"/>
      <c r="E18" s="296" t="s">
        <v>103</v>
      </c>
      <c r="F18" s="4"/>
      <c r="G18" s="17"/>
      <c r="H18" s="4"/>
      <c r="I18" s="17"/>
      <c r="J18" s="222">
        <f t="shared" si="4"/>
        <v>40</v>
      </c>
      <c r="K18" s="61">
        <f t="shared" si="0"/>
        <v>0</v>
      </c>
      <c r="L18" s="222">
        <f t="shared" si="1"/>
      </c>
      <c r="M18" s="224">
        <f t="shared" si="2"/>
      </c>
      <c r="N18" s="224">
        <f t="shared" si="3"/>
        <v>0</v>
      </c>
    </row>
    <row r="19" spans="1:14" ht="12.75">
      <c r="A19" s="50" t="s">
        <v>69</v>
      </c>
      <c r="B19" s="4"/>
      <c r="C19" s="23"/>
      <c r="D19" s="46" t="s">
        <v>104</v>
      </c>
      <c r="E19" s="296" t="s">
        <v>105</v>
      </c>
      <c r="F19" s="4"/>
      <c r="G19" s="17"/>
      <c r="H19" s="4"/>
      <c r="I19" s="17"/>
      <c r="J19" s="222">
        <f t="shared" si="4"/>
        <v>41</v>
      </c>
      <c r="K19" s="61">
        <f t="shared" si="0"/>
        <v>0</v>
      </c>
      <c r="L19" s="222">
        <f t="shared" si="1"/>
      </c>
      <c r="M19" s="224">
        <f t="shared" si="2"/>
      </c>
      <c r="N19" s="224">
        <f t="shared" si="3"/>
        <v>0</v>
      </c>
    </row>
    <row r="20" spans="1:14" ht="12.75">
      <c r="A20" s="1" t="s">
        <v>106</v>
      </c>
      <c r="B20" s="17"/>
      <c r="C20" s="23"/>
      <c r="D20" s="33"/>
      <c r="E20" s="32">
        <v>1</v>
      </c>
      <c r="F20" s="4"/>
      <c r="G20" s="17"/>
      <c r="H20" s="4"/>
      <c r="I20" s="17"/>
      <c r="J20" s="222">
        <f t="shared" si="4"/>
        <v>42</v>
      </c>
      <c r="K20" s="61">
        <f t="shared" si="0"/>
        <v>0</v>
      </c>
      <c r="L20" s="222">
        <f t="shared" si="1"/>
      </c>
      <c r="M20" s="224">
        <f t="shared" si="2"/>
      </c>
      <c r="N20" s="224">
        <f t="shared" si="3"/>
        <v>0</v>
      </c>
    </row>
    <row r="21" spans="1:14" ht="12.75">
      <c r="A21" s="1" t="s">
        <v>107</v>
      </c>
      <c r="B21" s="1"/>
      <c r="C21" s="23"/>
      <c r="D21" s="24"/>
      <c r="E21" s="44"/>
      <c r="F21" s="4"/>
      <c r="G21" s="4"/>
      <c r="H21" s="4"/>
      <c r="I21" s="17"/>
      <c r="J21" s="222">
        <f t="shared" si="4"/>
        <v>43</v>
      </c>
      <c r="K21" s="61">
        <f t="shared" si="0"/>
        <v>0</v>
      </c>
      <c r="L21" s="222">
        <f t="shared" si="1"/>
      </c>
      <c r="M21" s="224">
        <f t="shared" si="2"/>
      </c>
      <c r="N21" s="224">
        <f t="shared" si="3"/>
        <v>0</v>
      </c>
    </row>
    <row r="22" spans="1:14" ht="12.75">
      <c r="A22" s="1"/>
      <c r="B22" s="4"/>
      <c r="C22" s="23"/>
      <c r="D22" s="43"/>
      <c r="E22" s="23"/>
      <c r="F22" s="4"/>
      <c r="G22" s="4"/>
      <c r="H22" s="4"/>
      <c r="I22" s="17"/>
      <c r="J22" s="222">
        <f t="shared" si="4"/>
        <v>44</v>
      </c>
      <c r="K22" s="61">
        <f t="shared" si="0"/>
        <v>0</v>
      </c>
      <c r="L22" s="222">
        <f t="shared" si="1"/>
      </c>
      <c r="M22" s="224">
        <f t="shared" si="2"/>
      </c>
      <c r="N22" s="224">
        <f t="shared" si="3"/>
        <v>0</v>
      </c>
    </row>
    <row r="23" spans="1:14" ht="12.75">
      <c r="A23" s="1"/>
      <c r="B23" s="4"/>
      <c r="C23" s="23"/>
      <c r="D23" s="43" t="s">
        <v>108</v>
      </c>
      <c r="E23" s="16">
        <f>SUM(N44)</f>
        <v>0</v>
      </c>
      <c r="F23" s="4"/>
      <c r="G23" s="4"/>
      <c r="H23" s="4"/>
      <c r="I23" s="17"/>
      <c r="J23" s="222">
        <f t="shared" si="4"/>
        <v>45</v>
      </c>
      <c r="K23" s="61">
        <f t="shared" si="0"/>
        <v>0</v>
      </c>
      <c r="L23" s="222">
        <f t="shared" si="1"/>
      </c>
      <c r="M23" s="224">
        <f t="shared" si="2"/>
      </c>
      <c r="N23" s="224">
        <f t="shared" si="3"/>
        <v>0</v>
      </c>
    </row>
    <row r="24" spans="1:14" ht="12.75">
      <c r="A24" s="1"/>
      <c r="B24" s="4"/>
      <c r="C24" s="23"/>
      <c r="D24" s="24"/>
      <c r="E24" s="23"/>
      <c r="F24" s="4"/>
      <c r="G24" s="4"/>
      <c r="H24" s="4"/>
      <c r="I24" s="17"/>
      <c r="J24" s="222">
        <f t="shared" si="4"/>
        <v>46</v>
      </c>
      <c r="K24" s="61">
        <f t="shared" si="0"/>
        <v>0</v>
      </c>
      <c r="L24" s="222">
        <f t="shared" si="1"/>
      </c>
      <c r="M24" s="224">
        <f t="shared" si="2"/>
      </c>
      <c r="N24" s="224">
        <f t="shared" si="3"/>
        <v>0</v>
      </c>
    </row>
    <row r="25" spans="1:14" ht="13.5" thickBot="1">
      <c r="A25" s="1"/>
      <c r="B25" s="17"/>
      <c r="C25" s="23"/>
      <c r="D25" s="23"/>
      <c r="E25" s="23"/>
      <c r="F25" s="4"/>
      <c r="G25" s="4"/>
      <c r="H25" s="257"/>
      <c r="I25" s="23"/>
      <c r="J25" s="222">
        <f t="shared" si="4"/>
        <v>47</v>
      </c>
      <c r="K25" s="61">
        <f t="shared" si="0"/>
        <v>0</v>
      </c>
      <c r="L25" s="222">
        <f t="shared" si="1"/>
      </c>
      <c r="M25" s="224">
        <f t="shared" si="2"/>
      </c>
      <c r="N25" s="224">
        <f t="shared" si="3"/>
        <v>0</v>
      </c>
    </row>
    <row r="26" spans="1:14" ht="13.5" thickBot="1">
      <c r="A26" s="1" t="s">
        <v>109</v>
      </c>
      <c r="B26" s="17"/>
      <c r="C26" s="43"/>
      <c r="D26" s="24"/>
      <c r="E26" s="25">
        <f>MAX(E20*E23,0)</f>
        <v>0</v>
      </c>
      <c r="F26" s="4"/>
      <c r="G26" s="4"/>
      <c r="H26" s="4"/>
      <c r="I26" s="23"/>
      <c r="J26" s="222">
        <f t="shared" si="4"/>
        <v>48</v>
      </c>
      <c r="K26" s="61">
        <f t="shared" si="0"/>
        <v>0</v>
      </c>
      <c r="L26" s="222">
        <f t="shared" si="1"/>
      </c>
      <c r="M26" s="224">
        <f t="shared" si="2"/>
      </c>
      <c r="N26" s="224">
        <f t="shared" si="3"/>
        <v>0</v>
      </c>
    </row>
    <row r="27" spans="1:14" ht="12.75">
      <c r="A27" s="50" t="s">
        <v>110</v>
      </c>
      <c r="B27" s="1" t="s">
        <v>111</v>
      </c>
      <c r="C27" s="43"/>
      <c r="D27" s="24"/>
      <c r="E27" s="29"/>
      <c r="F27" s="4"/>
      <c r="G27" s="4"/>
      <c r="H27" s="4"/>
      <c r="I27" s="17"/>
      <c r="J27" s="222">
        <f t="shared" si="4"/>
        <v>49</v>
      </c>
      <c r="K27" s="61">
        <f t="shared" si="0"/>
        <v>0</v>
      </c>
      <c r="L27" s="222">
        <f t="shared" si="1"/>
      </c>
      <c r="M27" s="224">
        <f t="shared" si="2"/>
      </c>
      <c r="N27" s="224">
        <f t="shared" si="3"/>
        <v>0</v>
      </c>
    </row>
    <row r="28" spans="1:14" ht="12.75">
      <c r="A28" s="1"/>
      <c r="B28" s="401" t="s">
        <v>112</v>
      </c>
      <c r="C28" s="402"/>
      <c r="D28" s="24"/>
      <c r="E28" s="33"/>
      <c r="F28" s="4"/>
      <c r="G28" s="4"/>
      <c r="H28" s="4"/>
      <c r="I28" s="17"/>
      <c r="J28" s="222">
        <f t="shared" si="4"/>
        <v>50</v>
      </c>
      <c r="K28" s="61">
        <f t="shared" si="0"/>
        <v>0</v>
      </c>
      <c r="L28" s="222">
        <f t="shared" si="1"/>
      </c>
      <c r="M28" s="224">
        <f t="shared" si="2"/>
      </c>
      <c r="N28" s="224">
        <f t="shared" si="3"/>
        <v>0</v>
      </c>
    </row>
    <row r="29" spans="1:14" ht="12.75">
      <c r="A29" s="4"/>
      <c r="B29" s="4"/>
      <c r="C29" s="4"/>
      <c r="D29" s="4"/>
      <c r="E29" s="4"/>
      <c r="F29" s="4"/>
      <c r="G29" s="4"/>
      <c r="H29" s="4"/>
      <c r="I29" s="17"/>
      <c r="J29" s="222">
        <f t="shared" si="4"/>
        <v>51</v>
      </c>
      <c r="K29" s="61">
        <f t="shared" si="0"/>
        <v>0</v>
      </c>
      <c r="L29" s="222">
        <f t="shared" si="1"/>
      </c>
      <c r="M29" s="224">
        <f t="shared" si="2"/>
      </c>
      <c r="N29" s="224">
        <f t="shared" si="3"/>
        <v>0</v>
      </c>
    </row>
    <row r="30" spans="1:14" ht="12.75">
      <c r="A30" s="3" t="s">
        <v>113</v>
      </c>
      <c r="B30" s="17"/>
      <c r="C30" s="17"/>
      <c r="D30" s="17"/>
      <c r="E30" s="17"/>
      <c r="F30" s="17"/>
      <c r="G30" s="4"/>
      <c r="H30" s="4"/>
      <c r="I30" s="17"/>
      <c r="J30" s="222">
        <f t="shared" si="4"/>
        <v>52</v>
      </c>
      <c r="K30" s="61">
        <f t="shared" si="0"/>
        <v>0</v>
      </c>
      <c r="L30" s="222">
        <f t="shared" si="1"/>
      </c>
      <c r="M30" s="224">
        <f t="shared" si="2"/>
      </c>
      <c r="N30" s="224">
        <f t="shared" si="3"/>
        <v>0</v>
      </c>
    </row>
    <row r="31" spans="1:14" ht="12.75">
      <c r="A31" s="1" t="s">
        <v>114</v>
      </c>
      <c r="B31" s="43"/>
      <c r="C31" s="184" t="s">
        <v>115</v>
      </c>
      <c r="D31" s="49" t="s">
        <v>116</v>
      </c>
      <c r="E31" s="51" t="s">
        <v>117</v>
      </c>
      <c r="F31" s="4"/>
      <c r="G31" s="4"/>
      <c r="H31" s="23"/>
      <c r="I31" s="17"/>
      <c r="J31" s="222">
        <f t="shared" si="4"/>
        <v>53</v>
      </c>
      <c r="K31" s="61">
        <f t="shared" si="0"/>
        <v>0</v>
      </c>
      <c r="L31" s="222">
        <f t="shared" si="1"/>
      </c>
      <c r="M31" s="224">
        <f t="shared" si="2"/>
      </c>
      <c r="N31" s="224">
        <f t="shared" si="3"/>
        <v>0</v>
      </c>
    </row>
    <row r="32" spans="1:14" ht="12.75">
      <c r="A32" s="1" t="s">
        <v>118</v>
      </c>
      <c r="B32" s="188">
        <f>IF(D11="","",SUM(7.5*D11))</f>
        <v>0</v>
      </c>
      <c r="C32" s="187">
        <f>IF(B32="",0,SUM(10%*7.5*D11))</f>
        <v>0</v>
      </c>
      <c r="D32" s="187">
        <f>IF(E28="",0,IF(E28&gt;C32,C32,E28))</f>
        <v>0</v>
      </c>
      <c r="E32" s="189">
        <v>0.3</v>
      </c>
      <c r="F32" s="16">
        <f>SUM(D32*E32)</f>
        <v>0</v>
      </c>
      <c r="G32" s="4"/>
      <c r="H32" s="23"/>
      <c r="I32" s="17"/>
      <c r="J32" s="222">
        <f t="shared" si="4"/>
        <v>54</v>
      </c>
      <c r="K32" s="61">
        <f t="shared" si="0"/>
        <v>0</v>
      </c>
      <c r="L32" s="222">
        <f t="shared" si="1"/>
      </c>
      <c r="M32" s="224">
        <f t="shared" si="2"/>
      </c>
      <c r="N32" s="224">
        <f t="shared" si="3"/>
        <v>0</v>
      </c>
    </row>
    <row r="33" spans="1:14" ht="12.75">
      <c r="A33" s="1" t="s">
        <v>119</v>
      </c>
      <c r="B33" s="190">
        <f>IF(D11="","",SUM(20*D11-7.5*D11))</f>
        <v>0</v>
      </c>
      <c r="C33" s="16">
        <f>IF(B33="",0,SUM((20*D11-7.5*D11)*65%))</f>
        <v>0</v>
      </c>
      <c r="D33" s="16">
        <f>IF(E28="",0,IF(E28&gt;D32+C33,C33,E28-D32))</f>
        <v>0</v>
      </c>
      <c r="E33" s="191">
        <v>0.0462</v>
      </c>
      <c r="F33" s="16">
        <f>SUM(D33*E33)</f>
        <v>0</v>
      </c>
      <c r="G33" s="4"/>
      <c r="H33" s="23"/>
      <c r="I33" s="17"/>
      <c r="J33" s="222">
        <f t="shared" si="4"/>
        <v>55</v>
      </c>
      <c r="K33" s="61">
        <f t="shared" si="0"/>
        <v>0</v>
      </c>
      <c r="L33" s="222">
        <f t="shared" si="1"/>
      </c>
      <c r="M33" s="224">
        <f t="shared" si="2"/>
      </c>
      <c r="N33" s="224">
        <f t="shared" si="3"/>
        <v>0</v>
      </c>
    </row>
    <row r="34" spans="1:14" ht="12.75">
      <c r="A34" s="4" t="s">
        <v>120</v>
      </c>
      <c r="B34" s="192">
        <f>IF(D11="","",SUM(30*D11-20*D11))</f>
        <v>0</v>
      </c>
      <c r="C34" s="16">
        <f>IF(B34="",0,SUM(30*D11-20*D11)*32.5%)</f>
        <v>0</v>
      </c>
      <c r="D34" s="16">
        <f>IF(E28="",0,MIN(IF(E28&gt;D32+C33,E28-D32-C33,0),C34))</f>
        <v>0</v>
      </c>
      <c r="E34" s="193">
        <v>0.0923</v>
      </c>
      <c r="F34" s="16">
        <f>SUM(D34*E34)</f>
        <v>0</v>
      </c>
      <c r="G34" s="4"/>
      <c r="H34" s="4"/>
      <c r="I34" s="17"/>
      <c r="J34" s="222">
        <f t="shared" si="4"/>
        <v>56</v>
      </c>
      <c r="K34" s="61">
        <f t="shared" si="0"/>
        <v>0</v>
      </c>
      <c r="L34" s="222">
        <f t="shared" si="1"/>
      </c>
      <c r="M34" s="224">
        <f t="shared" si="2"/>
      </c>
      <c r="N34" s="224">
        <f t="shared" si="3"/>
        <v>0</v>
      </c>
    </row>
    <row r="35" spans="1:14" ht="12.75">
      <c r="A35" s="4"/>
      <c r="B35" s="48"/>
      <c r="C35" s="24"/>
      <c r="D35" s="194">
        <f>SUM(D32:D34)</f>
        <v>0</v>
      </c>
      <c r="E35" s="4"/>
      <c r="F35" s="4"/>
      <c r="G35" s="4"/>
      <c r="H35" s="23"/>
      <c r="I35" s="17"/>
      <c r="J35" s="222">
        <f t="shared" si="4"/>
        <v>57</v>
      </c>
      <c r="K35" s="61">
        <f t="shared" si="0"/>
        <v>0</v>
      </c>
      <c r="L35" s="222">
        <f t="shared" si="1"/>
      </c>
      <c r="M35" s="224">
        <f t="shared" si="2"/>
      </c>
      <c r="N35" s="224">
        <f t="shared" si="3"/>
        <v>0</v>
      </c>
    </row>
    <row r="36" spans="1:14" ht="13.5">
      <c r="A36" s="4"/>
      <c r="B36" s="48"/>
      <c r="C36" s="24"/>
      <c r="D36" s="195"/>
      <c r="E36" s="1" t="s">
        <v>113</v>
      </c>
      <c r="F36" s="16">
        <f>SUM(F32+F33+F35)</f>
        <v>0</v>
      </c>
      <c r="G36" s="4"/>
      <c r="H36" s="23"/>
      <c r="I36" s="17"/>
      <c r="J36" s="222">
        <f>IF(J35&lt;$L$4,J35+1,"")</f>
        <v>58</v>
      </c>
      <c r="K36" s="61">
        <f t="shared" si="0"/>
        <v>0</v>
      </c>
      <c r="L36" s="222">
        <f t="shared" si="1"/>
      </c>
      <c r="M36" s="224">
        <f t="shared" si="2"/>
      </c>
      <c r="N36" s="224">
        <f t="shared" si="3"/>
        <v>0</v>
      </c>
    </row>
    <row r="37" spans="1:14" ht="14.25" thickBot="1">
      <c r="A37" s="4"/>
      <c r="B37" s="48"/>
      <c r="C37" s="24"/>
      <c r="D37" s="195"/>
      <c r="E37" s="1" t="s">
        <v>104</v>
      </c>
      <c r="F37" s="187">
        <f>SUM(E28)</f>
        <v>0</v>
      </c>
      <c r="G37" s="4"/>
      <c r="H37" s="23"/>
      <c r="I37" s="17"/>
      <c r="J37" s="222">
        <f t="shared" si="4"/>
        <v>59</v>
      </c>
      <c r="K37" s="61">
        <f t="shared" si="0"/>
        <v>0</v>
      </c>
      <c r="L37" s="222">
        <f t="shared" si="1"/>
      </c>
      <c r="M37" s="224">
        <f t="shared" si="2"/>
      </c>
      <c r="N37" s="224">
        <f t="shared" si="3"/>
        <v>0</v>
      </c>
    </row>
    <row r="38" spans="1:14" ht="13.5" thickBot="1">
      <c r="A38" s="4"/>
      <c r="B38" s="48"/>
      <c r="C38" s="23" t="s">
        <v>121</v>
      </c>
      <c r="D38" s="196"/>
      <c r="E38" s="1"/>
      <c r="F38" s="197">
        <f>SUM(F37+F36)</f>
        <v>0</v>
      </c>
      <c r="G38" s="4"/>
      <c r="H38" s="4"/>
      <c r="I38" s="17"/>
      <c r="J38" s="222">
        <f t="shared" si="4"/>
        <v>60</v>
      </c>
      <c r="K38" s="61">
        <f t="shared" si="0"/>
        <v>0</v>
      </c>
      <c r="L38" s="222">
        <f t="shared" si="1"/>
      </c>
      <c r="M38" s="224">
        <f t="shared" si="2"/>
      </c>
      <c r="N38" s="224">
        <f t="shared" si="3"/>
        <v>0</v>
      </c>
    </row>
    <row r="39" spans="1:14" ht="12.75">
      <c r="A39" s="1"/>
      <c r="B39" s="1"/>
      <c r="C39" s="17"/>
      <c r="D39" s="4" t="s">
        <v>122</v>
      </c>
      <c r="E39" s="4"/>
      <c r="F39" s="16">
        <f>IF(F38&gt;=E26,0,SUM(E26-F38))</f>
        <v>0</v>
      </c>
      <c r="G39" s="4"/>
      <c r="H39" s="23"/>
      <c r="I39" s="17"/>
      <c r="J39" s="222">
        <f t="shared" si="4"/>
        <v>61</v>
      </c>
      <c r="K39" s="61">
        <f t="shared" si="0"/>
        <v>0</v>
      </c>
      <c r="L39" s="222">
        <f t="shared" si="1"/>
      </c>
      <c r="M39" s="224">
        <f t="shared" si="2"/>
      </c>
      <c r="N39" s="224">
        <f t="shared" si="3"/>
        <v>0</v>
      </c>
    </row>
    <row r="40" spans="1:14" ht="13.5" thickBot="1">
      <c r="A40" s="1" t="s">
        <v>123</v>
      </c>
      <c r="B40" s="1"/>
      <c r="C40" s="43"/>
      <c r="D40" s="24"/>
      <c r="E40" s="24"/>
      <c r="F40" s="300"/>
      <c r="G40" s="4"/>
      <c r="H40" s="17"/>
      <c r="I40" s="17"/>
      <c r="J40" s="222">
        <f t="shared" si="4"/>
        <v>62</v>
      </c>
      <c r="K40" s="61">
        <f t="shared" si="0"/>
        <v>0</v>
      </c>
      <c r="L40" s="222">
        <f t="shared" si="1"/>
      </c>
      <c r="M40" s="224">
        <f t="shared" si="2"/>
      </c>
      <c r="N40" s="224">
        <f t="shared" si="3"/>
        <v>0</v>
      </c>
    </row>
    <row r="41" spans="1:14" ht="14.25" thickBot="1">
      <c r="A41" s="1"/>
      <c r="B41" s="198" t="s">
        <v>124</v>
      </c>
      <c r="C41" s="1"/>
      <c r="D41" s="1"/>
      <c r="E41" s="1"/>
      <c r="F41" s="290">
        <f>MAX(F39-F40,0)</f>
        <v>0</v>
      </c>
      <c r="G41" s="4"/>
      <c r="H41" s="195"/>
      <c r="I41" s="17"/>
      <c r="J41" s="222">
        <f t="shared" si="4"/>
        <v>63</v>
      </c>
      <c r="K41" s="61">
        <f t="shared" si="0"/>
        <v>0</v>
      </c>
      <c r="L41" s="222">
        <f t="shared" si="1"/>
      </c>
      <c r="M41" s="224">
        <f t="shared" si="2"/>
      </c>
      <c r="N41" s="224">
        <f t="shared" si="3"/>
        <v>0</v>
      </c>
    </row>
    <row r="42" spans="1:14" ht="12.75">
      <c r="A42" s="17"/>
      <c r="B42" s="17"/>
      <c r="C42" s="17"/>
      <c r="D42" s="17"/>
      <c r="E42" s="17"/>
      <c r="F42" s="17"/>
      <c r="G42" s="4"/>
      <c r="H42" s="17"/>
      <c r="I42" s="17"/>
      <c r="J42" s="222">
        <f t="shared" si="4"/>
        <v>64</v>
      </c>
      <c r="K42" s="61">
        <f t="shared" si="0"/>
        <v>0</v>
      </c>
      <c r="L42" s="222">
        <f t="shared" si="1"/>
      </c>
      <c r="M42" s="224">
        <f t="shared" si="2"/>
      </c>
      <c r="N42" s="224">
        <f t="shared" si="3"/>
        <v>0</v>
      </c>
    </row>
    <row r="43" spans="1:14" ht="13.5" thickBot="1">
      <c r="A43" s="4" t="s">
        <v>74</v>
      </c>
      <c r="B43" s="310">
        <f ca="1">TODAY()</f>
        <v>45365</v>
      </c>
      <c r="C43" s="17"/>
      <c r="D43" s="17"/>
      <c r="E43" s="17"/>
      <c r="F43" s="17"/>
      <c r="G43" s="17"/>
      <c r="H43" s="17"/>
      <c r="I43" s="17"/>
      <c r="J43" s="264">
        <f t="shared" si="4"/>
        <v>65</v>
      </c>
      <c r="K43" s="64">
        <f t="shared" si="0"/>
        <v>0</v>
      </c>
      <c r="L43" s="264">
        <f t="shared" si="1"/>
      </c>
      <c r="M43" s="229">
        <f t="shared" si="2"/>
      </c>
      <c r="N43" s="224">
        <f t="shared" si="3"/>
        <v>0</v>
      </c>
    </row>
    <row r="44" spans="1:14" ht="13.5" thickBot="1">
      <c r="A44" s="17"/>
      <c r="B44" s="17"/>
      <c r="C44" s="17"/>
      <c r="D44" s="17"/>
      <c r="E44" s="17"/>
      <c r="F44" s="17"/>
      <c r="G44" s="17"/>
      <c r="H44" s="133"/>
      <c r="I44" s="17"/>
      <c r="J44" s="17"/>
      <c r="K44" s="137">
        <f>SUM(K14:K43)</f>
        <v>0</v>
      </c>
      <c r="L44" s="17"/>
      <c r="M44" s="137">
        <f>SUM(M14:M43)</f>
        <v>0</v>
      </c>
      <c r="N44" s="218">
        <f>SUM(N14:N43)</f>
        <v>0</v>
      </c>
    </row>
    <row r="45" spans="1:14" ht="12.75">
      <c r="A45" s="159"/>
      <c r="B45" s="17"/>
      <c r="C45" s="17"/>
      <c r="D45" s="17"/>
      <c r="E45" s="17"/>
      <c r="F45" s="133" t="s">
        <v>172</v>
      </c>
      <c r="G45" s="17"/>
      <c r="H45" s="17"/>
      <c r="I45" s="17"/>
      <c r="J45" s="17"/>
      <c r="K45" s="17"/>
      <c r="L45" s="17"/>
      <c r="M45" s="17"/>
      <c r="N45" s="17"/>
    </row>
    <row r="46" ht="12.75">
      <c r="A46" s="204"/>
    </row>
  </sheetData>
  <sheetProtection password="C248" sheet="1"/>
  <mergeCells count="4">
    <mergeCell ref="C6:D6"/>
    <mergeCell ref="C4:D4"/>
    <mergeCell ref="C2:D2"/>
    <mergeCell ref="B28:C28"/>
  </mergeCells>
  <printOptions/>
  <pageMargins left="0.75" right="0.75" top="1" bottom="1" header="0.5" footer="0.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57421875" style="0" customWidth="1"/>
    <col min="2" max="2" width="26.00390625" style="0" customWidth="1"/>
    <col min="3" max="3" width="11.7109375" style="0" customWidth="1"/>
    <col min="4" max="4" width="15.7109375" style="0" customWidth="1"/>
    <col min="5" max="5" width="12.28125" style="0" customWidth="1"/>
    <col min="6" max="6" width="5.57421875" style="0" customWidth="1"/>
    <col min="7" max="7" width="7.7109375" style="0" customWidth="1"/>
    <col min="8" max="8" width="6.421875" style="0" customWidth="1"/>
    <col min="12" max="12" width="10.28125" style="0" bestFit="1" customWidth="1"/>
  </cols>
  <sheetData>
    <row r="1" spans="1:17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>
      <c r="A2" s="27" t="s">
        <v>0</v>
      </c>
      <c r="B2" s="4"/>
      <c r="C2" s="4"/>
      <c r="D2" s="4"/>
      <c r="E2" s="4"/>
      <c r="F2" s="4"/>
      <c r="G2" s="4"/>
      <c r="H2" s="4"/>
      <c r="I2" s="17"/>
      <c r="J2" s="17"/>
      <c r="K2" s="17"/>
      <c r="L2" s="17"/>
      <c r="M2" s="17" t="s">
        <v>79</v>
      </c>
      <c r="N2" s="17"/>
      <c r="O2" s="17"/>
      <c r="P2" s="17"/>
      <c r="Q2" s="17"/>
    </row>
    <row r="3" spans="1:17" ht="12.75">
      <c r="A3" s="4"/>
      <c r="B3" s="4"/>
      <c r="C3" s="4"/>
      <c r="D3" s="4"/>
      <c r="E3" s="4"/>
      <c r="F3" s="4"/>
      <c r="G3" s="4"/>
      <c r="H3" s="4"/>
      <c r="I3" s="17" t="s">
        <v>80</v>
      </c>
      <c r="J3" s="17"/>
      <c r="K3" s="216">
        <f>SUM(D19)</f>
        <v>0</v>
      </c>
      <c r="L3" s="219" t="s">
        <v>36</v>
      </c>
      <c r="M3" s="98" t="s">
        <v>81</v>
      </c>
      <c r="N3" s="220">
        <f>SUM(K8)</f>
        <v>0</v>
      </c>
      <c r="O3" s="403" t="s">
        <v>125</v>
      </c>
      <c r="P3" s="404"/>
      <c r="Q3" s="60"/>
    </row>
    <row r="4" spans="1:17" ht="12.75">
      <c r="A4" s="4" t="s">
        <v>126</v>
      </c>
      <c r="B4" s="102"/>
      <c r="C4" s="21" t="s">
        <v>127</v>
      </c>
      <c r="D4" s="4"/>
      <c r="E4" s="103"/>
      <c r="F4" s="31" t="s">
        <v>128</v>
      </c>
      <c r="G4" s="4"/>
      <c r="H4" s="4"/>
      <c r="I4" s="17" t="s">
        <v>40</v>
      </c>
      <c r="J4" s="71"/>
      <c r="K4" s="208">
        <f>SUM(D20)</f>
        <v>0</v>
      </c>
      <c r="L4" s="221">
        <f>SUM(K4+65)</f>
        <v>65</v>
      </c>
      <c r="M4" s="222" t="s">
        <v>38</v>
      </c>
      <c r="N4" s="223">
        <f>SUM(L6)</f>
        <v>0</v>
      </c>
      <c r="O4" s="222">
        <v>2008</v>
      </c>
      <c r="P4" s="263">
        <v>1</v>
      </c>
      <c r="Q4" s="250"/>
    </row>
    <row r="5" spans="1:17" ht="12.75">
      <c r="A5" s="4"/>
      <c r="B5" s="4"/>
      <c r="C5" s="4"/>
      <c r="D5" s="4"/>
      <c r="E5" s="30">
        <f>IF(E4="","",LOOKUP(E4,Basbelopp!A4:A66,Basbelopp!B4:B66))</f>
      </c>
      <c r="F5" s="4">
        <f>IF('Tjänste p-förlust'!G11="X","(PA 91)","")</f>
      </c>
      <c r="G5" s="4"/>
      <c r="H5" s="4"/>
      <c r="I5" s="17" t="s">
        <v>83</v>
      </c>
      <c r="J5" s="71"/>
      <c r="K5" s="67">
        <f>SUM(E4)</f>
        <v>0</v>
      </c>
      <c r="L5" s="219" t="s">
        <v>38</v>
      </c>
      <c r="M5" s="222" t="s">
        <v>61</v>
      </c>
      <c r="N5" s="224">
        <f>MAX(N3-N4,0)</f>
        <v>0</v>
      </c>
      <c r="O5" s="222">
        <v>2009</v>
      </c>
      <c r="P5" s="263">
        <v>1</v>
      </c>
      <c r="Q5" s="60"/>
    </row>
    <row r="6" spans="1:18" ht="12.75">
      <c r="A6" s="4" t="s">
        <v>29</v>
      </c>
      <c r="B6" s="70"/>
      <c r="C6" s="4"/>
      <c r="D6" s="4"/>
      <c r="E6" s="31">
        <f>IF(E4="","",IF('Tjänste p-förlust'!G11="X","förhöjt prisbasbelopp",IF(E4&lt;2003,"förhöjt prisbasbelopp","Inkomstbasbelopp")))</f>
      </c>
      <c r="F6" s="4"/>
      <c r="G6" s="4"/>
      <c r="H6" s="4"/>
      <c r="I6" s="4" t="s">
        <v>84</v>
      </c>
      <c r="J6" s="225"/>
      <c r="K6" s="209">
        <f>SUM(E5)</f>
        <v>0</v>
      </c>
      <c r="L6" s="217">
        <f>SUM(K6*7.5)</f>
        <v>0</v>
      </c>
      <c r="M6" s="226" t="s">
        <v>85</v>
      </c>
      <c r="N6" s="224">
        <f>IF(K7=0,"",SUM(N5/30))</f>
      </c>
      <c r="O6" s="222">
        <v>2010</v>
      </c>
      <c r="P6" s="263">
        <v>1</v>
      </c>
      <c r="Q6" s="60"/>
      <c r="R6" s="269"/>
    </row>
    <row r="7" spans="1:18" ht="12.75">
      <c r="A7" s="4"/>
      <c r="B7" s="4"/>
      <c r="C7" s="4"/>
      <c r="D7" s="4"/>
      <c r="E7" s="26">
        <f>IF(E4="","","(basbelopp som används")</f>
      </c>
      <c r="F7" s="4"/>
      <c r="G7" s="4"/>
      <c r="H7" s="4"/>
      <c r="I7" s="4" t="s">
        <v>86</v>
      </c>
      <c r="J7" s="230"/>
      <c r="K7" s="67">
        <f>SUM(D21)</f>
        <v>0</v>
      </c>
      <c r="L7" s="230"/>
      <c r="M7" s="231">
        <f>SUM(J16+55%)</f>
        <v>0.68</v>
      </c>
      <c r="N7" s="232">
        <f>IF(N6="","",N6*M7)</f>
      </c>
      <c r="O7" s="222">
        <v>2011</v>
      </c>
      <c r="P7" s="263">
        <v>1</v>
      </c>
      <c r="Q7" s="46"/>
      <c r="R7" s="183"/>
    </row>
    <row r="8" spans="1:18" ht="12.75">
      <c r="A8" s="4" t="s">
        <v>30</v>
      </c>
      <c r="B8" s="70"/>
      <c r="C8" s="4"/>
      <c r="D8" s="4"/>
      <c r="E8" s="26">
        <f>IF(E5="","","vid beräkning)")</f>
      </c>
      <c r="F8" s="4"/>
      <c r="G8" s="4"/>
      <c r="H8" s="4"/>
      <c r="I8" s="4" t="s">
        <v>87</v>
      </c>
      <c r="J8" s="230"/>
      <c r="K8" s="217">
        <f>SUM(D27)</f>
        <v>0</v>
      </c>
      <c r="L8" s="230"/>
      <c r="M8" s="233">
        <f>SUM(N13)</f>
        <v>0.55</v>
      </c>
      <c r="N8" s="235">
        <f>IF(N6="","",SUM(N6*M8))</f>
      </c>
      <c r="O8" s="264">
        <v>2012</v>
      </c>
      <c r="P8" s="265">
        <v>1</v>
      </c>
      <c r="Q8" s="46"/>
      <c r="R8" s="183"/>
    </row>
    <row r="9" spans="1:17" ht="12.75">
      <c r="A9" s="4"/>
      <c r="B9" s="4"/>
      <c r="C9" s="4"/>
      <c r="D9" s="4"/>
      <c r="E9" s="4"/>
      <c r="F9" s="4"/>
      <c r="G9" s="4"/>
      <c r="H9" s="4"/>
      <c r="I9" s="4"/>
      <c r="J9" s="4"/>
      <c r="K9" s="17"/>
      <c r="L9" s="4" t="s">
        <v>88</v>
      </c>
      <c r="M9" s="17"/>
      <c r="N9" s="262">
        <f>SUM(D23)</f>
        <v>0</v>
      </c>
      <c r="O9" s="60"/>
      <c r="P9" s="245"/>
      <c r="Q9" s="17"/>
    </row>
    <row r="10" spans="1:19" ht="12.75">
      <c r="A10" s="3"/>
      <c r="B10" s="4"/>
      <c r="C10" s="4"/>
      <c r="D10" s="4"/>
      <c r="E10" s="4"/>
      <c r="F10" s="4"/>
      <c r="G10" s="4"/>
      <c r="H10" s="4"/>
      <c r="I10" s="17"/>
      <c r="J10" s="4"/>
      <c r="K10" s="17"/>
      <c r="L10" s="4" t="s">
        <v>89</v>
      </c>
      <c r="M10" s="230"/>
      <c r="N10" s="186">
        <f>SUM(D24)</f>
        <v>0</v>
      </c>
      <c r="O10" s="60"/>
      <c r="P10" s="177"/>
      <c r="Q10" s="17"/>
      <c r="S10" s="270"/>
    </row>
    <row r="11" spans="1:19" ht="12.75">
      <c r="A11" s="10" t="s">
        <v>129</v>
      </c>
      <c r="B11" s="11"/>
      <c r="C11" s="11"/>
      <c r="D11" s="11"/>
      <c r="E11" s="11"/>
      <c r="F11" s="12"/>
      <c r="G11" s="4"/>
      <c r="H11" s="4"/>
      <c r="I11" s="230"/>
      <c r="J11" s="230"/>
      <c r="K11" s="277">
        <v>0.045</v>
      </c>
      <c r="L11" s="230"/>
      <c r="M11" s="230"/>
      <c r="N11" s="230"/>
      <c r="O11" s="230"/>
      <c r="P11" s="230"/>
      <c r="Q11" s="165"/>
      <c r="R11" s="271"/>
      <c r="S11" s="272"/>
    </row>
    <row r="12" spans="1:19" ht="12.75">
      <c r="A12" s="15" t="s">
        <v>130</v>
      </c>
      <c r="B12" s="13"/>
      <c r="C12" s="13"/>
      <c r="D12" s="13"/>
      <c r="E12" s="13"/>
      <c r="F12" s="14"/>
      <c r="G12" s="4"/>
      <c r="H12" s="4"/>
      <c r="I12" s="230"/>
      <c r="J12" s="163" t="s">
        <v>66</v>
      </c>
      <c r="K12" s="278">
        <f>ROUND(K11*13/4.5,2)</f>
        <v>0.13</v>
      </c>
      <c r="L12" s="268">
        <f>IF(N5=0,ROUND(N3*K12/30,2),ROUND(N4*K12/30,2))</f>
        <v>0</v>
      </c>
      <c r="M12" s="279"/>
      <c r="N12" s="280">
        <f>IF(D23="",ROUND(4.5%*13/4.5,2),ROUND(D24*13/4.5,2))</f>
        <v>0.13</v>
      </c>
      <c r="O12" s="235">
        <f>IF(N5=0,N3*N12/30,N4*N12/30)</f>
        <v>0</v>
      </c>
      <c r="P12" s="215"/>
      <c r="Q12" s="238"/>
      <c r="R12" s="273"/>
      <c r="S12" s="273"/>
    </row>
    <row r="13" spans="1:19" ht="12.75">
      <c r="A13" s="4" t="s">
        <v>131</v>
      </c>
      <c r="B13" s="4"/>
      <c r="C13" s="4"/>
      <c r="D13" s="4"/>
      <c r="E13" s="4"/>
      <c r="F13" s="4"/>
      <c r="G13" s="4"/>
      <c r="H13" s="4"/>
      <c r="I13" s="60"/>
      <c r="J13" s="305" t="s">
        <v>67</v>
      </c>
      <c r="K13" s="306">
        <f>SUM(K12+55%)</f>
        <v>0.68</v>
      </c>
      <c r="L13" s="307">
        <f>IF(N5&gt;0,N6*K13,0)</f>
        <v>0</v>
      </c>
      <c r="M13" s="308"/>
      <c r="N13" s="309">
        <f>ROUND((N10*13/4.5)+55%,2)</f>
        <v>0.55</v>
      </c>
      <c r="O13" s="232">
        <f>SUM(N8)</f>
        <v>0</v>
      </c>
      <c r="P13" s="238"/>
      <c r="Q13" s="17"/>
      <c r="R13" s="105"/>
      <c r="S13" s="274"/>
    </row>
    <row r="14" spans="1:19" ht="12.75">
      <c r="A14" s="1"/>
      <c r="B14" s="4"/>
      <c r="C14" s="4"/>
      <c r="D14" s="4"/>
      <c r="E14" s="4"/>
      <c r="F14" s="4"/>
      <c r="G14" s="4"/>
      <c r="H14" s="4"/>
      <c r="I14" s="17"/>
      <c r="J14" s="98"/>
      <c r="K14" s="239" t="s">
        <v>90</v>
      </c>
      <c r="L14" s="99"/>
      <c r="M14" s="99"/>
      <c r="N14" s="99"/>
      <c r="O14" s="99"/>
      <c r="P14" s="100"/>
      <c r="Q14" s="17"/>
      <c r="S14" s="274"/>
    </row>
    <row r="15" spans="1:23" ht="12.75">
      <c r="A15" s="45" t="s">
        <v>132</v>
      </c>
      <c r="B15" s="230"/>
      <c r="C15" s="230"/>
      <c r="D15" s="95"/>
      <c r="E15" s="95"/>
      <c r="F15" s="95"/>
      <c r="G15" s="4"/>
      <c r="H15" s="4"/>
      <c r="I15" s="242"/>
      <c r="J15" s="222"/>
      <c r="K15" s="17"/>
      <c r="L15" s="17" t="s">
        <v>66</v>
      </c>
      <c r="M15" s="17" t="s">
        <v>67</v>
      </c>
      <c r="N15" s="17"/>
      <c r="O15" s="17"/>
      <c r="P15" s="241" t="s">
        <v>57</v>
      </c>
      <c r="Q15" s="71"/>
      <c r="R15" s="36"/>
      <c r="S15" s="274"/>
      <c r="U15" s="104"/>
      <c r="V15" s="104"/>
      <c r="W15" s="36"/>
    </row>
    <row r="16" spans="1:23" ht="12.75">
      <c r="A16" s="286"/>
      <c r="B16" s="230"/>
      <c r="C16" s="230"/>
      <c r="D16" s="17"/>
      <c r="E16" s="4"/>
      <c r="F16" s="4"/>
      <c r="G16" s="4"/>
      <c r="H16" s="4"/>
      <c r="I16" s="206"/>
      <c r="J16" s="213">
        <v>0.13</v>
      </c>
      <c r="K16" s="46">
        <f>SUM(L12)</f>
        <v>0</v>
      </c>
      <c r="L16" s="17"/>
      <c r="M16" s="46">
        <f>SUM(L13)</f>
        <v>0</v>
      </c>
      <c r="N16" s="59" t="s">
        <v>133</v>
      </c>
      <c r="O16" s="59" t="s">
        <v>134</v>
      </c>
      <c r="P16" s="224">
        <f>SUM(K16)</f>
        <v>0</v>
      </c>
      <c r="Q16" s="71"/>
      <c r="R16" s="36"/>
      <c r="S16" s="274"/>
      <c r="U16" s="104"/>
      <c r="V16" s="104"/>
      <c r="W16" s="36"/>
    </row>
    <row r="17" spans="1:23" ht="12.75">
      <c r="A17" s="1"/>
      <c r="B17" s="17"/>
      <c r="C17" s="17"/>
      <c r="D17" s="17"/>
      <c r="E17" s="17"/>
      <c r="F17" s="4"/>
      <c r="G17" s="4"/>
      <c r="H17" s="4"/>
      <c r="I17" s="207"/>
      <c r="J17" s="213">
        <f>IF(D23="",ROUND(4.5%*13/4.5,2),ROUND(D24*13/4.5,2))</f>
        <v>0.13</v>
      </c>
      <c r="K17" s="350">
        <f>SUM(O12)</f>
        <v>0</v>
      </c>
      <c r="L17" s="333"/>
      <c r="M17" s="350">
        <f>SUM(O13)</f>
        <v>0</v>
      </c>
      <c r="N17" s="332" t="s">
        <v>135</v>
      </c>
      <c r="O17" s="332" t="s">
        <v>136</v>
      </c>
      <c r="P17" s="224">
        <f>SUM(K17)</f>
        <v>0</v>
      </c>
      <c r="Q17" s="245"/>
      <c r="R17" s="36"/>
      <c r="S17" s="274"/>
      <c r="T17" s="36"/>
      <c r="U17" s="183"/>
      <c r="V17" s="275"/>
      <c r="W17" s="36"/>
    </row>
    <row r="18" spans="1:23" ht="12.75">
      <c r="A18" s="3"/>
      <c r="B18" s="287"/>
      <c r="C18" s="17"/>
      <c r="D18" s="43"/>
      <c r="E18" s="23"/>
      <c r="F18" s="4"/>
      <c r="G18" s="4"/>
      <c r="H18" s="4"/>
      <c r="I18" s="17"/>
      <c r="J18" s="210">
        <f>IF(K4=0,"",SUM(L4-K7+1))</f>
      </c>
      <c r="K18" s="211">
        <f aca="true" t="shared" si="0" ref="K18:K47">IF(J18&lt;$D$19,$D$27,IF(J18="","",IF($D$23="",$K$16,IF(J18&lt;$D$23,$K$16,$K$17))))</f>
      </c>
      <c r="L18" s="211">
        <f aca="true" t="shared" si="1" ref="L18:L47">IF(J18=$N$9,"höjning","")</f>
      </c>
      <c r="M18" s="211">
        <f aca="true" t="shared" si="2" ref="M18:M47">IF(J18&lt;$D$19,$D$27*0.13/30,IF(J18="","",IF($D$23="",$N$7,(IF(J18&lt;$D$23,$M$16,$M$17)))))</f>
      </c>
      <c r="N18" s="266">
        <f>IF(J18="","",IF(J18&lt;2008,100%,LOOKUP(J18,$O$4:O$8,$P$4:$P$8)))</f>
      </c>
      <c r="O18" s="211">
        <f>IF(J18="","",IF(N18=13%,$N$6*13%,M18*N18))</f>
      </c>
      <c r="P18" s="220">
        <f aca="true" t="shared" si="3" ref="P18:P47">IF(J18&lt;$D$19,0,IF(J18="","",SUM(K18+O18)))</f>
      </c>
      <c r="Q18" s="245"/>
      <c r="R18" s="36"/>
      <c r="S18" s="274"/>
      <c r="T18" s="36"/>
      <c r="U18" s="183"/>
      <c r="V18" s="275"/>
      <c r="W18" s="36"/>
    </row>
    <row r="19" spans="1:23" ht="12.75">
      <c r="A19" s="1"/>
      <c r="B19" s="1" t="s">
        <v>35</v>
      </c>
      <c r="C19" s="17"/>
      <c r="D19" s="69"/>
      <c r="E19" s="4"/>
      <c r="F19" s="4"/>
      <c r="G19" s="4"/>
      <c r="H19" s="4"/>
      <c r="I19" s="207"/>
      <c r="J19" s="77">
        <f>IF(J18&lt;$L$4,J18+1,"")</f>
      </c>
      <c r="K19" s="331">
        <f t="shared" si="0"/>
      </c>
      <c r="L19" s="331">
        <f t="shared" si="1"/>
      </c>
      <c r="M19" s="331">
        <f t="shared" si="2"/>
      </c>
      <c r="N19" s="385">
        <f>IF(J19="","",IF(J19&lt;2008,100%,LOOKUP(J19,$O$4:O$8,$P$4:$P$8)))</f>
      </c>
      <c r="O19" s="331">
        <f>IF(J19="","",IF(N19=13%,$N$6*13%,M19*N19))</f>
      </c>
      <c r="P19" s="224">
        <f t="shared" si="3"/>
      </c>
      <c r="Q19" s="245"/>
      <c r="R19" s="36"/>
      <c r="S19" s="274"/>
      <c r="T19" s="36"/>
      <c r="U19" s="183"/>
      <c r="V19" s="275"/>
      <c r="W19" s="36"/>
    </row>
    <row r="20" spans="1:23" ht="12.75">
      <c r="A20" s="1"/>
      <c r="B20" s="1" t="s">
        <v>40</v>
      </c>
      <c r="C20" s="17"/>
      <c r="D20" s="69"/>
      <c r="E20" s="4"/>
      <c r="F20" s="4"/>
      <c r="G20" s="4"/>
      <c r="H20" s="4"/>
      <c r="I20" s="17"/>
      <c r="J20" s="77">
        <f aca="true" t="shared" si="4" ref="J20:J47">IF(J19&lt;$L$4,J19+1,"")</f>
      </c>
      <c r="K20" s="331">
        <f t="shared" si="0"/>
      </c>
      <c r="L20" s="331">
        <f t="shared" si="1"/>
      </c>
      <c r="M20" s="331">
        <f t="shared" si="2"/>
      </c>
      <c r="N20" s="385">
        <f>IF(J20="","",IF(J20&lt;2008,100%,LOOKUP(J20,$O$4:O$8,$P$4:$P$8)))</f>
      </c>
      <c r="O20" s="331">
        <f aca="true" t="shared" si="5" ref="O20:O47">IF(J20="","",IF(N20=13%,$N$6*13%,M20*N20))</f>
      </c>
      <c r="P20" s="224">
        <f t="shared" si="3"/>
      </c>
      <c r="Q20" s="245"/>
      <c r="R20" s="36"/>
      <c r="S20" s="274"/>
      <c r="T20" s="36"/>
      <c r="U20" s="183"/>
      <c r="V20" s="275"/>
      <c r="W20" s="36"/>
    </row>
    <row r="21" spans="1:23" ht="12.75">
      <c r="A21" s="1"/>
      <c r="B21" s="1" t="s">
        <v>137</v>
      </c>
      <c r="C21" s="17"/>
      <c r="D21" s="69"/>
      <c r="E21" s="4"/>
      <c r="F21" s="4"/>
      <c r="G21" s="4"/>
      <c r="H21" s="4"/>
      <c r="I21" s="207"/>
      <c r="J21" s="77">
        <f t="shared" si="4"/>
      </c>
      <c r="K21" s="331">
        <f t="shared" si="0"/>
      </c>
      <c r="L21" s="331">
        <f t="shared" si="1"/>
      </c>
      <c r="M21" s="331">
        <f t="shared" si="2"/>
      </c>
      <c r="N21" s="385">
        <f>IF(J21="","",IF(J21&lt;2008,100%,LOOKUP(J21,$O$4:O$8,$P$4:$P$8)))</f>
      </c>
      <c r="O21" s="331">
        <f t="shared" si="5"/>
      </c>
      <c r="P21" s="224">
        <f t="shared" si="3"/>
      </c>
      <c r="Q21" s="245"/>
      <c r="R21" s="36"/>
      <c r="S21" s="274"/>
      <c r="T21" s="36"/>
      <c r="U21" s="183"/>
      <c r="V21" s="275"/>
      <c r="W21" s="36"/>
    </row>
    <row r="22" spans="1:23" ht="12.75">
      <c r="A22" s="1"/>
      <c r="B22" s="1"/>
      <c r="C22" s="17"/>
      <c r="D22" s="1"/>
      <c r="E22" s="4"/>
      <c r="F22" s="4"/>
      <c r="G22" s="4"/>
      <c r="H22" s="4"/>
      <c r="I22" s="17"/>
      <c r="J22" s="77">
        <f t="shared" si="4"/>
      </c>
      <c r="K22" s="331">
        <f t="shared" si="0"/>
      </c>
      <c r="L22" s="331">
        <f t="shared" si="1"/>
      </c>
      <c r="M22" s="331">
        <f t="shared" si="2"/>
      </c>
      <c r="N22" s="385">
        <f>IF(J22="","",IF(J22&lt;2008,100%,LOOKUP(J22,$O$4:O$8,$P$4:$P$8)))</f>
      </c>
      <c r="O22" s="331">
        <f t="shared" si="5"/>
      </c>
      <c r="P22" s="224">
        <f t="shared" si="3"/>
      </c>
      <c r="Q22" s="245"/>
      <c r="R22" s="36"/>
      <c r="S22" s="274"/>
      <c r="T22" s="36"/>
      <c r="U22" s="183"/>
      <c r="V22" s="275"/>
      <c r="W22" s="36"/>
    </row>
    <row r="23" spans="1:23" ht="12.75">
      <c r="A23" s="1"/>
      <c r="B23" s="1" t="s">
        <v>70</v>
      </c>
      <c r="C23" s="17"/>
      <c r="D23" s="69"/>
      <c r="E23" s="4" t="s">
        <v>128</v>
      </c>
      <c r="F23" s="4"/>
      <c r="G23" s="4"/>
      <c r="H23" s="4"/>
      <c r="I23" s="207"/>
      <c r="J23" s="77">
        <f t="shared" si="4"/>
      </c>
      <c r="K23" s="331">
        <f t="shared" si="0"/>
      </c>
      <c r="L23" s="331">
        <f t="shared" si="1"/>
      </c>
      <c r="M23" s="331">
        <f t="shared" si="2"/>
      </c>
      <c r="N23" s="385">
        <f>IF(J23="","",IF(J23&lt;2008,100%,LOOKUP(J23,$O$4:O$8,$P$4:$P$8)))</f>
      </c>
      <c r="O23" s="331">
        <f t="shared" si="5"/>
      </c>
      <c r="P23" s="224">
        <f t="shared" si="3"/>
      </c>
      <c r="Q23" s="245"/>
      <c r="R23" s="36"/>
      <c r="S23" s="274"/>
      <c r="T23" s="36"/>
      <c r="U23" s="183"/>
      <c r="V23" s="275"/>
      <c r="W23" s="36"/>
    </row>
    <row r="24" spans="1:23" ht="12.75">
      <c r="A24" s="1"/>
      <c r="B24" s="1" t="s">
        <v>138</v>
      </c>
      <c r="C24" s="17"/>
      <c r="D24" s="205"/>
      <c r="E24" s="4"/>
      <c r="F24" s="4"/>
      <c r="G24" s="4"/>
      <c r="H24" s="4"/>
      <c r="I24" s="17"/>
      <c r="J24" s="77">
        <f t="shared" si="4"/>
      </c>
      <c r="K24" s="331">
        <f t="shared" si="0"/>
      </c>
      <c r="L24" s="331">
        <f t="shared" si="1"/>
      </c>
      <c r="M24" s="331">
        <f t="shared" si="2"/>
      </c>
      <c r="N24" s="385">
        <f>IF(J24="","",IF(J24&lt;2008,100%,LOOKUP(J24,$O$4:O$8,$P$4:$P$8)))</f>
      </c>
      <c r="O24" s="331">
        <f t="shared" si="5"/>
      </c>
      <c r="P24" s="224">
        <f t="shared" si="3"/>
      </c>
      <c r="Q24" s="245"/>
      <c r="R24" s="36"/>
      <c r="S24" s="274"/>
      <c r="T24" s="36"/>
      <c r="U24" s="183"/>
      <c r="V24" s="275"/>
      <c r="W24" s="36"/>
    </row>
    <row r="25" spans="1:23" ht="12.75">
      <c r="A25" s="1"/>
      <c r="B25" s="1"/>
      <c r="C25" s="1"/>
      <c r="D25" s="4"/>
      <c r="E25" s="56"/>
      <c r="F25" s="4"/>
      <c r="G25" s="4"/>
      <c r="H25" s="4"/>
      <c r="I25" s="207"/>
      <c r="J25" s="77">
        <f t="shared" si="4"/>
      </c>
      <c r="K25" s="331">
        <f t="shared" si="0"/>
      </c>
      <c r="L25" s="331">
        <f t="shared" si="1"/>
      </c>
      <c r="M25" s="331">
        <f t="shared" si="2"/>
      </c>
      <c r="N25" s="385">
        <f>IF(J25="","",IF(J25&lt;2008,100%,LOOKUP(J25,$O$4:O$8,$P$4:$P$8)))</f>
      </c>
      <c r="O25" s="331">
        <f t="shared" si="5"/>
      </c>
      <c r="P25" s="224">
        <f t="shared" si="3"/>
      </c>
      <c r="Q25" s="245"/>
      <c r="R25" s="36"/>
      <c r="S25" s="274"/>
      <c r="T25" s="36"/>
      <c r="U25" s="183"/>
      <c r="V25" s="275"/>
      <c r="W25" s="36"/>
    </row>
    <row r="26" spans="1:23" ht="12.75">
      <c r="A26" s="1"/>
      <c r="B26" s="1"/>
      <c r="C26" s="4"/>
      <c r="D26" s="4"/>
      <c r="E26" s="299" t="s">
        <v>139</v>
      </c>
      <c r="F26" s="4"/>
      <c r="G26" s="4"/>
      <c r="H26" s="4"/>
      <c r="I26" s="17"/>
      <c r="J26" s="77">
        <f t="shared" si="4"/>
      </c>
      <c r="K26" s="331">
        <f t="shared" si="0"/>
      </c>
      <c r="L26" s="331">
        <f t="shared" si="1"/>
      </c>
      <c r="M26" s="331">
        <f t="shared" si="2"/>
      </c>
      <c r="N26" s="385">
        <f>IF(J26="","",IF(J26&lt;2008,100%,LOOKUP(J26,$O$4:O$8,$P$4:$P$8)))</f>
      </c>
      <c r="O26" s="331">
        <f t="shared" si="5"/>
      </c>
      <c r="P26" s="224">
        <f t="shared" si="3"/>
      </c>
      <c r="Q26" s="245"/>
      <c r="R26" s="36"/>
      <c r="S26" s="274"/>
      <c r="T26" s="36"/>
      <c r="U26" s="183"/>
      <c r="V26" s="275"/>
      <c r="W26" s="36"/>
    </row>
    <row r="27" spans="1:23" ht="12.75">
      <c r="A27" s="1"/>
      <c r="B27" s="1" t="s">
        <v>140</v>
      </c>
      <c r="C27" s="17"/>
      <c r="D27" s="72"/>
      <c r="E27" s="63">
        <f>SUM(P48)</f>
        <v>0</v>
      </c>
      <c r="F27" s="4"/>
      <c r="G27" s="4"/>
      <c r="H27" s="4"/>
      <c r="I27" s="207"/>
      <c r="J27" s="77">
        <f t="shared" si="4"/>
      </c>
      <c r="K27" s="331">
        <f t="shared" si="0"/>
      </c>
      <c r="L27" s="331">
        <f t="shared" si="1"/>
      </c>
      <c r="M27" s="331">
        <f t="shared" si="2"/>
      </c>
      <c r="N27" s="385">
        <f>IF(J27="","",IF(J27&lt;2008,100%,LOOKUP(J27,$O$4:O$8,$P$4:$P$8)))</f>
      </c>
      <c r="O27" s="331">
        <f t="shared" si="5"/>
      </c>
      <c r="P27" s="224">
        <f t="shared" si="3"/>
      </c>
      <c r="Q27" s="245"/>
      <c r="R27" s="36"/>
      <c r="S27" s="274"/>
      <c r="T27" s="36"/>
      <c r="U27" s="183"/>
      <c r="V27" s="275"/>
      <c r="W27" s="36"/>
    </row>
    <row r="28" spans="1:23" ht="13.5" thickBot="1">
      <c r="A28" s="17"/>
      <c r="B28" s="17"/>
      <c r="C28" s="17"/>
      <c r="D28" s="17"/>
      <c r="E28" s="17"/>
      <c r="F28" s="4"/>
      <c r="G28" s="4"/>
      <c r="H28" s="4"/>
      <c r="I28" s="17"/>
      <c r="J28" s="77">
        <f t="shared" si="4"/>
      </c>
      <c r="K28" s="331">
        <f t="shared" si="0"/>
      </c>
      <c r="L28" s="331">
        <f t="shared" si="1"/>
      </c>
      <c r="M28" s="331">
        <f t="shared" si="2"/>
      </c>
      <c r="N28" s="385">
        <f>IF(J28="","",IF(J28&lt;2008,100%,LOOKUP(J28,$O$4:O$8,$P$4:$P$8)))</f>
      </c>
      <c r="O28" s="331">
        <f t="shared" si="5"/>
      </c>
      <c r="P28" s="224">
        <f t="shared" si="3"/>
      </c>
      <c r="Q28" s="245"/>
      <c r="R28" s="36"/>
      <c r="S28" s="274"/>
      <c r="T28" s="36"/>
      <c r="U28" s="183"/>
      <c r="V28" s="275"/>
      <c r="W28" s="36"/>
    </row>
    <row r="29" spans="1:23" ht="13.5" thickBot="1">
      <c r="A29" s="17"/>
      <c r="B29" s="45" t="s">
        <v>141</v>
      </c>
      <c r="C29" s="4"/>
      <c r="D29" s="4"/>
      <c r="E29" s="25">
        <f>MAX(E27,0)</f>
        <v>0</v>
      </c>
      <c r="F29" s="4"/>
      <c r="G29" s="4"/>
      <c r="H29" s="4"/>
      <c r="I29" s="207"/>
      <c r="J29" s="77">
        <f t="shared" si="4"/>
      </c>
      <c r="K29" s="331">
        <f t="shared" si="0"/>
      </c>
      <c r="L29" s="331">
        <f t="shared" si="1"/>
      </c>
      <c r="M29" s="331">
        <f t="shared" si="2"/>
      </c>
      <c r="N29" s="385">
        <f>IF(J29="","",IF(J29&lt;2008,100%,LOOKUP(J29,$O$4:O$8,$P$4:$P$8)))</f>
      </c>
      <c r="O29" s="331">
        <f t="shared" si="5"/>
      </c>
      <c r="P29" s="224">
        <f t="shared" si="3"/>
      </c>
      <c r="Q29" s="245"/>
      <c r="R29" s="36"/>
      <c r="S29" s="274"/>
      <c r="T29" s="36"/>
      <c r="U29" s="183"/>
      <c r="V29" s="275"/>
      <c r="W29" s="36"/>
    </row>
    <row r="30" spans="1:23" ht="12.75">
      <c r="A30" s="1"/>
      <c r="B30" s="45"/>
      <c r="C30" s="4"/>
      <c r="D30" s="4"/>
      <c r="E30" s="29"/>
      <c r="F30" s="4"/>
      <c r="G30" s="4"/>
      <c r="H30" s="4"/>
      <c r="I30" s="17"/>
      <c r="J30" s="77">
        <f t="shared" si="4"/>
      </c>
      <c r="K30" s="331">
        <f t="shared" si="0"/>
      </c>
      <c r="L30" s="331">
        <f t="shared" si="1"/>
      </c>
      <c r="M30" s="331">
        <f t="shared" si="2"/>
      </c>
      <c r="N30" s="385">
        <f>IF(J30="","",IF(J30&lt;2008,100%,LOOKUP(J30,$O$4:O$8,$P$4:$P$8)))</f>
      </c>
      <c r="O30" s="331">
        <f t="shared" si="5"/>
      </c>
      <c r="P30" s="224">
        <f t="shared" si="3"/>
      </c>
      <c r="Q30" s="245"/>
      <c r="R30" s="36"/>
      <c r="S30" s="274"/>
      <c r="T30" s="36"/>
      <c r="U30" s="183"/>
      <c r="V30" s="275"/>
      <c r="W30" s="36"/>
    </row>
    <row r="31" spans="1:23" ht="12.75">
      <c r="A31" s="1"/>
      <c r="B31" s="45"/>
      <c r="C31" s="4"/>
      <c r="D31" s="4"/>
      <c r="E31" s="29"/>
      <c r="F31" s="4"/>
      <c r="G31" s="4"/>
      <c r="H31" s="4"/>
      <c r="I31" s="207"/>
      <c r="J31" s="77">
        <f t="shared" si="4"/>
      </c>
      <c r="K31" s="331">
        <f t="shared" si="0"/>
      </c>
      <c r="L31" s="331">
        <f t="shared" si="1"/>
      </c>
      <c r="M31" s="331">
        <f t="shared" si="2"/>
      </c>
      <c r="N31" s="385">
        <f>IF(J31="","",IF(J31&lt;2008,100%,LOOKUP(J31,$O$4:O$8,$P$4:$P$8)))</f>
      </c>
      <c r="O31" s="331">
        <f t="shared" si="5"/>
      </c>
      <c r="P31" s="224">
        <f t="shared" si="3"/>
      </c>
      <c r="Q31" s="245"/>
      <c r="R31" s="36"/>
      <c r="S31" s="274"/>
      <c r="T31" s="36"/>
      <c r="U31" s="183"/>
      <c r="V31" s="275"/>
      <c r="W31" s="36"/>
    </row>
    <row r="32" spans="1:23" ht="12.75">
      <c r="A32" s="1"/>
      <c r="B32" s="4"/>
      <c r="C32" s="45" t="s">
        <v>142</v>
      </c>
      <c r="D32" s="4"/>
      <c r="E32" s="23"/>
      <c r="F32" s="4"/>
      <c r="G32" s="4"/>
      <c r="H32" s="4"/>
      <c r="I32" s="17"/>
      <c r="J32" s="77">
        <f t="shared" si="4"/>
      </c>
      <c r="K32" s="331">
        <f t="shared" si="0"/>
      </c>
      <c r="L32" s="331">
        <f t="shared" si="1"/>
      </c>
      <c r="M32" s="331">
        <f t="shared" si="2"/>
      </c>
      <c r="N32" s="385">
        <f>IF(J32="","",IF(J32&lt;2008,100%,LOOKUP(J32,$O$4:O$8,$P$4:$P$8)))</f>
      </c>
      <c r="O32" s="331">
        <f t="shared" si="5"/>
      </c>
      <c r="P32" s="224">
        <f t="shared" si="3"/>
      </c>
      <c r="Q32" s="245"/>
      <c r="R32" s="36"/>
      <c r="S32" s="274"/>
      <c r="T32" s="36"/>
      <c r="U32" s="183"/>
      <c r="V32" s="275"/>
      <c r="W32" s="36"/>
    </row>
    <row r="33" spans="1:23" ht="12.75">
      <c r="A33" s="1"/>
      <c r="B33" s="17"/>
      <c r="C33" s="17"/>
      <c r="D33" s="17"/>
      <c r="E33" s="133" t="s">
        <v>143</v>
      </c>
      <c r="F33" s="4"/>
      <c r="G33" s="4"/>
      <c r="H33" s="4"/>
      <c r="I33" s="207"/>
      <c r="J33" s="77">
        <f t="shared" si="4"/>
      </c>
      <c r="K33" s="331">
        <f t="shared" si="0"/>
      </c>
      <c r="L33" s="331">
        <f t="shared" si="1"/>
      </c>
      <c r="M33" s="331">
        <f t="shared" si="2"/>
      </c>
      <c r="N33" s="385">
        <f>IF(J33="","",IF(J33&lt;2008,100%,LOOKUP(J33,$O$4:O$8,$P$4:$P$8)))</f>
      </c>
      <c r="O33" s="331">
        <f t="shared" si="5"/>
      </c>
      <c r="P33" s="224">
        <f t="shared" si="3"/>
      </c>
      <c r="Q33" s="245"/>
      <c r="R33" s="36"/>
      <c r="S33" s="274"/>
      <c r="T33" s="36"/>
      <c r="U33" s="183"/>
      <c r="V33" s="275"/>
      <c r="W33" s="36"/>
    </row>
    <row r="34" spans="1:23" ht="12.75">
      <c r="A34" s="1"/>
      <c r="B34" s="1" t="s">
        <v>35</v>
      </c>
      <c r="C34" s="73"/>
      <c r="D34" s="201" t="s">
        <v>36</v>
      </c>
      <c r="E34" s="26" t="s">
        <v>144</v>
      </c>
      <c r="F34" s="4"/>
      <c r="G34" s="4"/>
      <c r="H34" s="4"/>
      <c r="I34" s="17"/>
      <c r="J34" s="77">
        <f t="shared" si="4"/>
      </c>
      <c r="K34" s="331">
        <f t="shared" si="0"/>
      </c>
      <c r="L34" s="331">
        <f t="shared" si="1"/>
      </c>
      <c r="M34" s="331">
        <f t="shared" si="2"/>
      </c>
      <c r="N34" s="385">
        <f>IF(J34="","",IF(J34&lt;2008,100%,LOOKUP(J34,$O$4:O$8,$P$4:$P$8)))</f>
      </c>
      <c r="O34" s="331">
        <f t="shared" si="5"/>
      </c>
      <c r="P34" s="224">
        <f t="shared" si="3"/>
      </c>
      <c r="Q34" s="245"/>
      <c r="R34" s="36"/>
      <c r="S34" s="274"/>
      <c r="T34" s="36"/>
      <c r="U34" s="183"/>
      <c r="V34" s="275"/>
      <c r="W34" s="36"/>
    </row>
    <row r="35" spans="1:23" ht="12.75">
      <c r="A35" s="17"/>
      <c r="B35" s="1" t="s">
        <v>40</v>
      </c>
      <c r="C35" s="73"/>
      <c r="D35" s="202">
        <f>IF(C35="","",C35+65)</f>
      </c>
      <c r="E35" s="203">
        <f>IF(C34="","",D35-C34+1)</f>
      </c>
      <c r="F35" s="4"/>
      <c r="G35" s="4"/>
      <c r="H35" s="4"/>
      <c r="I35" s="207"/>
      <c r="J35" s="77">
        <f t="shared" si="4"/>
      </c>
      <c r="K35" s="331">
        <f t="shared" si="0"/>
      </c>
      <c r="L35" s="331">
        <f t="shared" si="1"/>
      </c>
      <c r="M35" s="331">
        <f t="shared" si="2"/>
      </c>
      <c r="N35" s="385">
        <f>IF(J35="","",IF(J35&lt;2008,100%,LOOKUP(J35,$O$4:O$8,$P$4:$P$8)))</f>
      </c>
      <c r="O35" s="331">
        <f t="shared" si="5"/>
      </c>
      <c r="P35" s="224">
        <f t="shared" si="3"/>
      </c>
      <c r="Q35" s="245"/>
      <c r="R35" s="36"/>
      <c r="S35" s="274"/>
      <c r="T35" s="36"/>
      <c r="U35" s="183"/>
      <c r="V35" s="275"/>
      <c r="W35" s="36"/>
    </row>
    <row r="36" spans="1:23" ht="12.75">
      <c r="A36" s="1"/>
      <c r="B36" s="1" t="s">
        <v>145</v>
      </c>
      <c r="C36" s="73"/>
      <c r="D36" s="4"/>
      <c r="E36" s="23"/>
      <c r="F36" s="4"/>
      <c r="G36" s="4"/>
      <c r="H36" s="4"/>
      <c r="I36" s="17"/>
      <c r="J36" s="77">
        <f t="shared" si="4"/>
      </c>
      <c r="K36" s="331">
        <f t="shared" si="0"/>
      </c>
      <c r="L36" s="331">
        <f t="shared" si="1"/>
      </c>
      <c r="M36" s="331">
        <f t="shared" si="2"/>
      </c>
      <c r="N36" s="385">
        <f>IF(J36="","",IF(J36&lt;2008,100%,LOOKUP(J36,$O$4:O$8,$P$4:$P$8)))</f>
      </c>
      <c r="O36" s="331">
        <f t="shared" si="5"/>
      </c>
      <c r="P36" s="224">
        <f t="shared" si="3"/>
      </c>
      <c r="Q36" s="245"/>
      <c r="R36" s="36"/>
      <c r="S36" s="274"/>
      <c r="T36" s="36"/>
      <c r="U36" s="183"/>
      <c r="V36" s="275"/>
      <c r="W36" s="36"/>
    </row>
    <row r="37" spans="1:23" ht="12.75">
      <c r="A37" s="1"/>
      <c r="B37" s="1"/>
      <c r="C37" s="59"/>
      <c r="D37" s="4"/>
      <c r="E37" s="23"/>
      <c r="F37" s="4"/>
      <c r="G37" s="4"/>
      <c r="H37" s="4"/>
      <c r="I37" s="207"/>
      <c r="J37" s="77">
        <f t="shared" si="4"/>
      </c>
      <c r="K37" s="331">
        <f t="shared" si="0"/>
      </c>
      <c r="L37" s="331">
        <f t="shared" si="1"/>
      </c>
      <c r="M37" s="331">
        <f t="shared" si="2"/>
      </c>
      <c r="N37" s="385">
        <f>IF(J37="","",IF(J37&lt;2008,100%,LOOKUP(J37,$O$4:O$8,$P$4:$P$8)))</f>
      </c>
      <c r="O37" s="331">
        <f t="shared" si="5"/>
      </c>
      <c r="P37" s="224">
        <f t="shared" si="3"/>
      </c>
      <c r="Q37" s="245"/>
      <c r="R37" s="36"/>
      <c r="S37" s="274"/>
      <c r="T37" s="36"/>
      <c r="U37" s="183"/>
      <c r="V37" s="275"/>
      <c r="W37" s="36"/>
    </row>
    <row r="38" spans="1:23" ht="12.75">
      <c r="A38" s="1"/>
      <c r="B38" s="1" t="s">
        <v>94</v>
      </c>
      <c r="C38" s="17"/>
      <c r="D38" s="33"/>
      <c r="E38" s="17"/>
      <c r="F38" s="4"/>
      <c r="G38" s="4"/>
      <c r="H38" s="4"/>
      <c r="I38" s="17"/>
      <c r="J38" s="77">
        <f t="shared" si="4"/>
      </c>
      <c r="K38" s="331">
        <f t="shared" si="0"/>
      </c>
      <c r="L38" s="331">
        <f t="shared" si="1"/>
      </c>
      <c r="M38" s="331">
        <f t="shared" si="2"/>
      </c>
      <c r="N38" s="385">
        <f>IF(J38="","",IF(J38&lt;2008,100%,LOOKUP(J38,$O$4:O$8,$P$4:$P$8)))</f>
      </c>
      <c r="O38" s="331">
        <f t="shared" si="5"/>
      </c>
      <c r="P38" s="224">
        <f t="shared" si="3"/>
      </c>
      <c r="Q38" s="245"/>
      <c r="R38" s="36"/>
      <c r="S38" s="274"/>
      <c r="T38" s="36"/>
      <c r="U38" s="183"/>
      <c r="V38" s="275"/>
      <c r="W38" s="36"/>
    </row>
    <row r="39" spans="1:23" ht="12.75">
      <c r="A39" s="1"/>
      <c r="B39" s="1"/>
      <c r="C39" s="17"/>
      <c r="D39" s="23"/>
      <c r="E39" s="17"/>
      <c r="F39" s="4"/>
      <c r="G39" s="4"/>
      <c r="H39" s="4"/>
      <c r="I39" s="207"/>
      <c r="J39" s="77">
        <f t="shared" si="4"/>
      </c>
      <c r="K39" s="331">
        <f t="shared" si="0"/>
      </c>
      <c r="L39" s="331">
        <f t="shared" si="1"/>
      </c>
      <c r="M39" s="331">
        <f t="shared" si="2"/>
      </c>
      <c r="N39" s="385">
        <f>IF(J39="","",IF(J39&lt;2008,100%,LOOKUP(J39,$O$4:O$8,$P$4:$P$8)))</f>
      </c>
      <c r="O39" s="331">
        <f t="shared" si="5"/>
      </c>
      <c r="P39" s="224">
        <f t="shared" si="3"/>
      </c>
      <c r="Q39" s="245"/>
      <c r="R39" s="36"/>
      <c r="S39" s="274"/>
      <c r="T39" s="36"/>
      <c r="U39" s="183"/>
      <c r="V39" s="275"/>
      <c r="W39" s="36"/>
    </row>
    <row r="40" spans="1:23" ht="12.75">
      <c r="A40" s="1"/>
      <c r="B40" s="1"/>
      <c r="C40" s="23"/>
      <c r="D40" s="4"/>
      <c r="E40" s="17"/>
      <c r="F40" s="23"/>
      <c r="G40" s="4"/>
      <c r="H40" s="4"/>
      <c r="I40" s="17"/>
      <c r="J40" s="77">
        <f t="shared" si="4"/>
      </c>
      <c r="K40" s="331">
        <f t="shared" si="0"/>
      </c>
      <c r="L40" s="331">
        <f t="shared" si="1"/>
      </c>
      <c r="M40" s="331">
        <f t="shared" si="2"/>
      </c>
      <c r="N40" s="385">
        <f>IF(J40="","",IF(J40&lt;2008,100%,LOOKUP(J40,$O$4:O$8,$P$4:$P$8)))</f>
      </c>
      <c r="O40" s="331">
        <f t="shared" si="5"/>
      </c>
      <c r="P40" s="224">
        <f t="shared" si="3"/>
      </c>
      <c r="Q40" s="245"/>
      <c r="R40" s="36"/>
      <c r="S40" s="274"/>
      <c r="T40" s="36"/>
      <c r="U40" s="183"/>
      <c r="V40" s="275"/>
      <c r="W40" s="36"/>
    </row>
    <row r="41" spans="1:23" ht="12.75">
      <c r="A41" s="17"/>
      <c r="B41" s="17"/>
      <c r="C41" s="177"/>
      <c r="D41" s="17"/>
      <c r="E41" s="17"/>
      <c r="F41" s="23"/>
      <c r="G41" s="288"/>
      <c r="H41" s="288"/>
      <c r="I41" s="289"/>
      <c r="J41" s="77">
        <f t="shared" si="4"/>
      </c>
      <c r="K41" s="331">
        <f t="shared" si="0"/>
      </c>
      <c r="L41" s="331">
        <f t="shared" si="1"/>
      </c>
      <c r="M41" s="331">
        <f t="shared" si="2"/>
      </c>
      <c r="N41" s="385">
        <f>IF(J41="","",IF(J41&lt;2008,100%,LOOKUP(J41,$O$4:O$8,$P$4:$P$8)))</f>
      </c>
      <c r="O41" s="331">
        <f t="shared" si="5"/>
      </c>
      <c r="P41" s="224">
        <f t="shared" si="3"/>
      </c>
      <c r="Q41" s="245"/>
      <c r="R41" s="36"/>
      <c r="S41" s="274"/>
      <c r="T41" s="36"/>
      <c r="U41" s="183"/>
      <c r="V41" s="275"/>
      <c r="W41" s="36"/>
    </row>
    <row r="42" spans="1:23" ht="12.75">
      <c r="A42" s="17"/>
      <c r="B42" s="17"/>
      <c r="C42" s="17"/>
      <c r="D42" s="4"/>
      <c r="E42" s="17"/>
      <c r="F42" s="23"/>
      <c r="G42" s="288"/>
      <c r="H42" s="288"/>
      <c r="I42" s="288"/>
      <c r="J42" s="77">
        <f t="shared" si="4"/>
      </c>
      <c r="K42" s="331">
        <f t="shared" si="0"/>
      </c>
      <c r="L42" s="331">
        <f t="shared" si="1"/>
      </c>
      <c r="M42" s="331">
        <f t="shared" si="2"/>
      </c>
      <c r="N42" s="385">
        <f>IF(J42="","",IF(J42&lt;2008,100%,LOOKUP(J42,$O$4:O$8,$P$4:$P$8)))</f>
      </c>
      <c r="O42" s="331">
        <f t="shared" si="5"/>
      </c>
      <c r="P42" s="224">
        <f t="shared" si="3"/>
      </c>
      <c r="Q42" s="245"/>
      <c r="R42" s="36"/>
      <c r="S42" s="274"/>
      <c r="T42" s="36"/>
      <c r="U42" s="183"/>
      <c r="V42" s="275"/>
      <c r="W42" s="36"/>
    </row>
    <row r="43" spans="1:23" ht="12.75">
      <c r="A43" s="17"/>
      <c r="B43" s="4"/>
      <c r="C43" s="4"/>
      <c r="D43" s="4"/>
      <c r="E43" s="301" t="s">
        <v>146</v>
      </c>
      <c r="F43" s="46"/>
      <c r="G43" s="4"/>
      <c r="H43" s="4"/>
      <c r="I43" s="207"/>
      <c r="J43" s="77">
        <f t="shared" si="4"/>
      </c>
      <c r="K43" s="331">
        <f t="shared" si="0"/>
      </c>
      <c r="L43" s="331">
        <f t="shared" si="1"/>
      </c>
      <c r="M43" s="331">
        <f t="shared" si="2"/>
      </c>
      <c r="N43" s="385">
        <f>IF(J43="","",IF(J43&lt;2008,100%,LOOKUP(J43,$O$4:O$8,$P$4:$P$8)))</f>
      </c>
      <c r="O43" s="331">
        <f t="shared" si="5"/>
      </c>
      <c r="P43" s="224">
        <f t="shared" si="3"/>
      </c>
      <c r="Q43" s="245"/>
      <c r="R43" s="36"/>
      <c r="S43" s="274"/>
      <c r="T43" s="36"/>
      <c r="U43" s="183"/>
      <c r="V43" s="275"/>
      <c r="W43" s="36"/>
    </row>
    <row r="44" spans="1:23" ht="12.75">
      <c r="A44" s="1"/>
      <c r="B44" s="4"/>
      <c r="C44" s="4"/>
      <c r="D44" s="43"/>
      <c r="E44" s="23"/>
      <c r="F44" s="282"/>
      <c r="G44" s="4"/>
      <c r="H44" s="4"/>
      <c r="I44" s="17"/>
      <c r="J44" s="77">
        <f t="shared" si="4"/>
      </c>
      <c r="K44" s="331">
        <f t="shared" si="0"/>
      </c>
      <c r="L44" s="331">
        <f t="shared" si="1"/>
      </c>
      <c r="M44" s="331">
        <f t="shared" si="2"/>
      </c>
      <c r="N44" s="385">
        <f>IF(J44="","",IF(J44&lt;2008,100%,LOOKUP(J44,$O$4:O$8,$P$4:$P$8)))</f>
      </c>
      <c r="O44" s="331">
        <f t="shared" si="5"/>
      </c>
      <c r="P44" s="224">
        <f t="shared" si="3"/>
      </c>
      <c r="Q44" s="245"/>
      <c r="R44" s="36"/>
      <c r="S44" s="274"/>
      <c r="T44" s="36"/>
      <c r="U44" s="183"/>
      <c r="V44" s="275"/>
      <c r="W44" s="36"/>
    </row>
    <row r="45" spans="1:23" ht="12.75">
      <c r="A45" s="1"/>
      <c r="B45" s="4"/>
      <c r="C45" s="4"/>
      <c r="D45" s="23" t="s">
        <v>52</v>
      </c>
      <c r="E45" s="16">
        <f>SUM(M57)</f>
        <v>0</v>
      </c>
      <c r="F45" s="4"/>
      <c r="G45" s="4"/>
      <c r="H45" s="4"/>
      <c r="I45" s="207"/>
      <c r="J45" s="77">
        <f t="shared" si="4"/>
      </c>
      <c r="K45" s="331">
        <f t="shared" si="0"/>
      </c>
      <c r="L45" s="331">
        <f t="shared" si="1"/>
      </c>
      <c r="M45" s="331">
        <f t="shared" si="2"/>
      </c>
      <c r="N45" s="385">
        <f>IF(J45="","",IF(J45&lt;2008,100%,LOOKUP(J45,$O$4:O$8,$P$4:$P$8)))</f>
      </c>
      <c r="O45" s="331">
        <f t="shared" si="5"/>
      </c>
      <c r="P45" s="224">
        <f t="shared" si="3"/>
      </c>
      <c r="Q45" s="245"/>
      <c r="R45" s="36"/>
      <c r="S45" s="274"/>
      <c r="T45" s="36"/>
      <c r="U45" s="183"/>
      <c r="V45" s="275"/>
      <c r="W45" s="36"/>
    </row>
    <row r="46" spans="1:23" ht="12.75">
      <c r="A46" s="1"/>
      <c r="B46" s="4"/>
      <c r="C46" s="4"/>
      <c r="D46" s="23"/>
      <c r="E46" s="23"/>
      <c r="F46" s="282"/>
      <c r="G46" s="4"/>
      <c r="H46" s="4"/>
      <c r="I46" s="17"/>
      <c r="J46" s="77">
        <f t="shared" si="4"/>
      </c>
      <c r="K46" s="331">
        <f t="shared" si="0"/>
      </c>
      <c r="L46" s="331">
        <f t="shared" si="1"/>
      </c>
      <c r="M46" s="331">
        <f t="shared" si="2"/>
      </c>
      <c r="N46" s="385">
        <f>IF(J46="","",IF(J46&lt;2008,100%,LOOKUP(J46,$O$4:O$8,$P$4:$P$8)))</f>
      </c>
      <c r="O46" s="331">
        <f t="shared" si="5"/>
      </c>
      <c r="P46" s="224">
        <f t="shared" si="3"/>
      </c>
      <c r="Q46" s="245"/>
      <c r="R46" s="36"/>
      <c r="S46" s="274"/>
      <c r="T46" s="36"/>
      <c r="U46" s="183"/>
      <c r="V46" s="275"/>
      <c r="W46" s="36"/>
    </row>
    <row r="47" spans="1:23" ht="12.75">
      <c r="A47" s="1" t="s">
        <v>123</v>
      </c>
      <c r="B47" s="17"/>
      <c r="C47" s="44"/>
      <c r="D47" s="4"/>
      <c r="E47" s="74"/>
      <c r="F47" s="4"/>
      <c r="G47" s="4"/>
      <c r="H47" s="4"/>
      <c r="I47" s="60"/>
      <c r="J47" s="78">
        <f t="shared" si="4"/>
      </c>
      <c r="K47" s="212">
        <f t="shared" si="0"/>
      </c>
      <c r="L47" s="212">
        <f t="shared" si="1"/>
      </c>
      <c r="M47" s="212">
        <f t="shared" si="2"/>
      </c>
      <c r="N47" s="387">
        <f>IF(J47="","",IF(J47&lt;2008,100%,LOOKUP(J47,$O$4:O$8,$P$4:$P$8)))</f>
      </c>
      <c r="O47" s="212">
        <f t="shared" si="5"/>
      </c>
      <c r="P47" s="229">
        <f t="shared" si="3"/>
      </c>
      <c r="Q47" s="17"/>
      <c r="R47" s="36"/>
      <c r="T47" s="36"/>
      <c r="V47" s="36"/>
      <c r="W47" s="276"/>
    </row>
    <row r="48" spans="1:17" ht="13.5" thickBot="1">
      <c r="A48" s="1"/>
      <c r="B48" s="1"/>
      <c r="C48" s="43"/>
      <c r="D48" s="24"/>
      <c r="E48" s="44"/>
      <c r="F48" s="4"/>
      <c r="G48" s="4"/>
      <c r="H48" s="4"/>
      <c r="I48" s="250"/>
      <c r="J48" s="59"/>
      <c r="K48" s="23"/>
      <c r="L48" s="17"/>
      <c r="M48" s="60"/>
      <c r="N48" s="17"/>
      <c r="O48" s="60"/>
      <c r="P48" s="386">
        <f>SUM(P18:P47)</f>
        <v>0</v>
      </c>
      <c r="Q48" s="17"/>
    </row>
    <row r="49" spans="1:17" ht="13.5" thickBot="1">
      <c r="A49" s="50"/>
      <c r="B49" s="1"/>
      <c r="C49" s="23"/>
      <c r="D49" s="24"/>
      <c r="E49" s="23"/>
      <c r="F49" s="4"/>
      <c r="G49" s="4"/>
      <c r="H49" s="4"/>
      <c r="I49" s="250"/>
      <c r="J49" s="250"/>
      <c r="K49" s="250"/>
      <c r="L49" s="250"/>
      <c r="M49" s="250"/>
      <c r="N49" s="250"/>
      <c r="O49" s="17"/>
      <c r="P49" s="17"/>
      <c r="Q49" s="17"/>
    </row>
    <row r="50" spans="1:17" ht="13.5" thickBot="1">
      <c r="A50" s="1"/>
      <c r="B50" s="45" t="s">
        <v>147</v>
      </c>
      <c r="C50" s="23"/>
      <c r="D50" s="24"/>
      <c r="E50" s="25">
        <f>SUM(E45-E47)</f>
        <v>0</v>
      </c>
      <c r="F50" s="4"/>
      <c r="G50" s="4"/>
      <c r="H50" s="4"/>
      <c r="I50" s="45" t="s">
        <v>148</v>
      </c>
      <c r="J50" s="80"/>
      <c r="K50" s="4"/>
      <c r="L50" s="4"/>
      <c r="M50" s="4"/>
      <c r="N50" s="4"/>
      <c r="O50" s="17"/>
      <c r="P50" s="17"/>
      <c r="Q50" s="17"/>
    </row>
    <row r="51" spans="1:17" ht="12.75">
      <c r="A51" s="1" t="s">
        <v>149</v>
      </c>
      <c r="B51" s="4"/>
      <c r="C51" s="48"/>
      <c r="D51" s="24"/>
      <c r="E51" s="29"/>
      <c r="F51" s="4"/>
      <c r="G51" s="4"/>
      <c r="H51" s="4"/>
      <c r="I51" s="4" t="s">
        <v>37</v>
      </c>
      <c r="J51" s="296">
        <f>SUM(E4)</f>
        <v>0</v>
      </c>
      <c r="K51" s="296" t="s">
        <v>38</v>
      </c>
      <c r="L51" s="4"/>
      <c r="M51" s="291"/>
      <c r="N51" s="4"/>
      <c r="O51" s="17"/>
      <c r="P51" s="17"/>
      <c r="Q51" s="17"/>
    </row>
    <row r="52" spans="1:17" ht="12.75">
      <c r="A52" s="1"/>
      <c r="B52" s="1"/>
      <c r="C52" s="1"/>
      <c r="D52" s="1"/>
      <c r="E52" s="1"/>
      <c r="F52" s="1"/>
      <c r="G52" s="4"/>
      <c r="H52" s="4"/>
      <c r="I52" s="4" t="s">
        <v>101</v>
      </c>
      <c r="J52" s="299">
        <f>SUM(E5)</f>
        <v>0</v>
      </c>
      <c r="K52" s="299">
        <f>SUM(J52*7.5)</f>
        <v>0</v>
      </c>
      <c r="L52" s="4"/>
      <c r="M52" s="17"/>
      <c r="N52" s="4"/>
      <c r="O52" s="17"/>
      <c r="P52" s="17"/>
      <c r="Q52" s="17"/>
    </row>
    <row r="53" spans="1:17" ht="12.75">
      <c r="A53" s="318" t="s">
        <v>150</v>
      </c>
      <c r="B53" s="319">
        <f ca="1">TODAY()</f>
        <v>45365</v>
      </c>
      <c r="C53" s="1"/>
      <c r="D53" s="1"/>
      <c r="E53" s="1"/>
      <c r="F53" s="1"/>
      <c r="G53" s="4"/>
      <c r="H53" s="4"/>
      <c r="I53" s="4"/>
      <c r="J53" s="4"/>
      <c r="K53" s="96" t="s">
        <v>66</v>
      </c>
      <c r="L53" s="96" t="s">
        <v>67</v>
      </c>
      <c r="M53" s="17"/>
      <c r="N53" s="4"/>
      <c r="O53" s="17"/>
      <c r="P53" s="17"/>
      <c r="Q53" s="17"/>
    </row>
    <row r="54" spans="1:17" ht="12.75">
      <c r="A54" s="1"/>
      <c r="B54" s="1"/>
      <c r="C54" s="1"/>
      <c r="D54" s="1"/>
      <c r="E54" s="1"/>
      <c r="F54" s="1" t="s">
        <v>172</v>
      </c>
      <c r="G54" s="26"/>
      <c r="H54" s="26"/>
      <c r="I54" s="81" t="s">
        <v>52</v>
      </c>
      <c r="J54" s="298">
        <f>SUM(D38)</f>
        <v>0</v>
      </c>
      <c r="K54" s="23">
        <f>IF(J54&lt;K52,J54,K52)</f>
        <v>0</v>
      </c>
      <c r="L54" s="23">
        <f>MAX(J54-K52,0)</f>
        <v>0</v>
      </c>
      <c r="M54" s="17"/>
      <c r="N54" s="4"/>
      <c r="O54" s="17"/>
      <c r="P54" s="17"/>
      <c r="Q54" s="17"/>
    </row>
    <row r="55" spans="7:17" ht="12.75">
      <c r="G55" s="338"/>
      <c r="H55" s="4"/>
      <c r="I55" s="4"/>
      <c r="J55" s="43">
        <v>0.13</v>
      </c>
      <c r="K55" s="23">
        <f>SUM(K54*J55)</f>
        <v>0</v>
      </c>
      <c r="L55" s="4"/>
      <c r="M55" s="17"/>
      <c r="N55" s="4"/>
      <c r="O55" s="17"/>
      <c r="P55" s="17"/>
      <c r="Q55" s="17"/>
    </row>
    <row r="56" spans="7:17" ht="13.5" thickBot="1">
      <c r="G56" s="5"/>
      <c r="H56" s="4"/>
      <c r="I56" s="4"/>
      <c r="J56" s="43">
        <v>0.68</v>
      </c>
      <c r="K56" s="4"/>
      <c r="L56" s="23">
        <f>SUM(L54*J56)</f>
        <v>0</v>
      </c>
      <c r="M56" s="4"/>
      <c r="N56" s="4"/>
      <c r="O56" s="17"/>
      <c r="P56" s="17"/>
      <c r="Q56" s="17"/>
    </row>
    <row r="57" spans="7:17" ht="13.5" thickBot="1">
      <c r="G57" s="5"/>
      <c r="H57" s="4"/>
      <c r="I57" s="4" t="s">
        <v>151</v>
      </c>
      <c r="J57" s="296">
        <f>SUM(C36)</f>
        <v>0</v>
      </c>
      <c r="K57" s="16">
        <f>SUM(K55*C36/30)</f>
        <v>0</v>
      </c>
      <c r="L57" s="16">
        <f>SUM(L56*J57/30)</f>
        <v>0</v>
      </c>
      <c r="M57" s="297">
        <f>SUM(K57:L57)</f>
        <v>0</v>
      </c>
      <c r="N57" s="4"/>
      <c r="O57" s="17"/>
      <c r="P57" s="17"/>
      <c r="Q57" s="17"/>
    </row>
    <row r="58" spans="7:17" ht="12.75">
      <c r="G58" s="5"/>
      <c r="H58" s="4"/>
      <c r="I58" s="4"/>
      <c r="J58" s="4"/>
      <c r="K58" s="4"/>
      <c r="L58" s="4"/>
      <c r="M58" s="4"/>
      <c r="N58" s="4"/>
      <c r="O58" s="17"/>
      <c r="P58" s="17"/>
      <c r="Q58" s="17"/>
    </row>
    <row r="59" spans="7:14" ht="12.75">
      <c r="G59" s="5"/>
      <c r="H59" s="5"/>
      <c r="K59" s="322"/>
      <c r="L59" s="322"/>
      <c r="M59" s="323"/>
      <c r="N59" s="5"/>
    </row>
    <row r="60" spans="8:14" ht="12.75">
      <c r="H60" s="5"/>
      <c r="I60" s="105"/>
      <c r="J60" s="276"/>
      <c r="K60" s="22"/>
      <c r="L60" s="22"/>
      <c r="M60" s="323"/>
      <c r="N60" s="5"/>
    </row>
    <row r="61" spans="8:14" ht="12.75">
      <c r="H61" s="5"/>
      <c r="I61" s="5"/>
      <c r="J61" s="274"/>
      <c r="K61" s="5"/>
      <c r="L61" s="5"/>
      <c r="M61" s="323"/>
      <c r="N61" s="5"/>
    </row>
    <row r="62" spans="8:14" ht="12.75">
      <c r="H62" s="5"/>
      <c r="I62" s="5"/>
      <c r="J62" s="274"/>
      <c r="K62" s="5"/>
      <c r="L62" s="5"/>
      <c r="M62" s="323"/>
      <c r="N62" s="5"/>
    </row>
    <row r="63" spans="8:14" ht="12.75">
      <c r="H63" s="5"/>
      <c r="J63" s="322"/>
      <c r="K63" s="22"/>
      <c r="L63" s="5"/>
      <c r="M63" s="276"/>
      <c r="N63" s="5"/>
    </row>
    <row r="64" spans="8:14" ht="12.75">
      <c r="H64" s="5"/>
      <c r="N64" s="5"/>
    </row>
  </sheetData>
  <sheetProtection password="C248" sheet="1"/>
  <mergeCells count="1">
    <mergeCell ref="O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28125" style="0" customWidth="1"/>
    <col min="2" max="2" width="34.57421875" style="0" customWidth="1"/>
    <col min="3" max="3" width="11.28125" style="0" customWidth="1"/>
    <col min="4" max="4" width="12.421875" style="0" customWidth="1"/>
    <col min="5" max="5" width="11.28125" style="0" bestFit="1" customWidth="1"/>
    <col min="6" max="6" width="8.00390625" style="0" customWidth="1"/>
    <col min="7" max="7" width="9.7109375" style="0" customWidth="1"/>
    <col min="8" max="8" width="7.57421875" style="0" customWidth="1"/>
    <col min="9" max="9" width="13.7109375" style="0" customWidth="1"/>
    <col min="10" max="10" width="12.00390625" style="0" customWidth="1"/>
    <col min="19" max="19" width="6.28125" style="0" customWidth="1"/>
    <col min="20" max="20" width="8.57421875" style="0" customWidth="1"/>
    <col min="22" max="22" width="8.28125" style="0" customWidth="1"/>
  </cols>
  <sheetData>
    <row r="1" spans="1:24" ht="15.75">
      <c r="A1" s="27" t="s">
        <v>0</v>
      </c>
      <c r="B1" s="4"/>
      <c r="C1" s="4"/>
      <c r="D1" s="4"/>
      <c r="E1" s="4"/>
      <c r="F1" s="4"/>
      <c r="G1" s="4"/>
      <c r="H1" s="4"/>
      <c r="I1" s="17"/>
      <c r="J1" s="17"/>
      <c r="K1" s="17"/>
      <c r="L1" s="17"/>
      <c r="M1" s="17" t="s">
        <v>79</v>
      </c>
      <c r="N1" s="17"/>
      <c r="O1" s="17"/>
      <c r="P1" s="17" t="s">
        <v>47</v>
      </c>
      <c r="Q1" s="17"/>
      <c r="R1" s="17"/>
      <c r="S1" s="17"/>
      <c r="T1" s="17"/>
      <c r="U1" s="17"/>
      <c r="V1" s="17"/>
      <c r="W1" s="17"/>
      <c r="X1" s="17"/>
    </row>
    <row r="2" spans="1:24" ht="12.75">
      <c r="A2" s="4"/>
      <c r="B2" s="4"/>
      <c r="C2" s="4"/>
      <c r="D2" s="4"/>
      <c r="E2" s="4"/>
      <c r="F2" s="4"/>
      <c r="G2" s="4"/>
      <c r="H2" s="4"/>
      <c r="I2" s="17" t="s">
        <v>80</v>
      </c>
      <c r="J2" s="17"/>
      <c r="K2" s="216">
        <f>SUM(C23)</f>
        <v>0</v>
      </c>
      <c r="L2" s="219" t="s">
        <v>36</v>
      </c>
      <c r="M2" s="98" t="s">
        <v>81</v>
      </c>
      <c r="N2" s="220">
        <f>SUM(K7)</f>
        <v>0</v>
      </c>
      <c r="O2" s="98" t="s">
        <v>82</v>
      </c>
      <c r="P2" s="99"/>
      <c r="Q2" s="220">
        <f>SUM(C31)</f>
        <v>0</v>
      </c>
      <c r="R2" s="17"/>
      <c r="S2" s="403" t="s">
        <v>125</v>
      </c>
      <c r="T2" s="404"/>
      <c r="U2" s="17"/>
      <c r="V2" s="17"/>
      <c r="W2" s="17"/>
      <c r="X2" s="17"/>
    </row>
    <row r="3" spans="1:24" ht="12.75">
      <c r="A3" s="4" t="s">
        <v>126</v>
      </c>
      <c r="B3" s="102"/>
      <c r="C3" s="21" t="s">
        <v>127</v>
      </c>
      <c r="D3" s="4"/>
      <c r="E3" s="103"/>
      <c r="F3" s="31" t="s">
        <v>128</v>
      </c>
      <c r="G3" s="4"/>
      <c r="H3" s="4"/>
      <c r="I3" s="17" t="s">
        <v>40</v>
      </c>
      <c r="J3" s="71"/>
      <c r="K3" s="208">
        <f>SUM(C24)</f>
        <v>0</v>
      </c>
      <c r="L3" s="221">
        <f>SUM(K3+65)</f>
        <v>65</v>
      </c>
      <c r="M3" s="222" t="s">
        <v>38</v>
      </c>
      <c r="N3" s="223">
        <f>SUM(L5)</f>
        <v>0</v>
      </c>
      <c r="O3" s="222" t="s">
        <v>38</v>
      </c>
      <c r="P3" s="17"/>
      <c r="Q3" s="223">
        <f>SUM(L5)</f>
        <v>0</v>
      </c>
      <c r="R3" s="17"/>
      <c r="S3" s="222">
        <v>2008</v>
      </c>
      <c r="T3" s="263">
        <v>1</v>
      </c>
      <c r="U3" s="17"/>
      <c r="V3" s="17"/>
      <c r="W3" s="17"/>
      <c r="X3" s="17"/>
    </row>
    <row r="4" spans="1:24" ht="12.75">
      <c r="A4" s="4"/>
      <c r="B4" s="4"/>
      <c r="C4" s="4"/>
      <c r="D4" s="4"/>
      <c r="E4" s="200">
        <f>IF(E3="","",LOOKUP(E3,Basbelopp!A4:A66,Basbelopp!B4:B66))</f>
      </c>
      <c r="F4" s="4">
        <f>IF('Tjänste p-förlust'!G11="X","(PA 91)","")</f>
      </c>
      <c r="G4" s="4"/>
      <c r="H4" s="4"/>
      <c r="I4" s="17" t="s">
        <v>83</v>
      </c>
      <c r="J4" s="71"/>
      <c r="K4" s="67">
        <f>SUM(E3)</f>
        <v>0</v>
      </c>
      <c r="L4" s="219" t="s">
        <v>38</v>
      </c>
      <c r="M4" s="222" t="s">
        <v>61</v>
      </c>
      <c r="N4" s="224">
        <f>MAX(N2-N3,0)</f>
        <v>0</v>
      </c>
      <c r="O4" s="222" t="s">
        <v>67</v>
      </c>
      <c r="P4" s="17"/>
      <c r="Q4" s="224">
        <f>MAX(Q2-Q3,0)</f>
        <v>0</v>
      </c>
      <c r="R4" s="17"/>
      <c r="S4" s="222">
        <v>2009</v>
      </c>
      <c r="T4" s="263">
        <v>1</v>
      </c>
      <c r="U4" s="17"/>
      <c r="V4" s="17"/>
      <c r="W4" s="17"/>
      <c r="X4" s="17"/>
    </row>
    <row r="5" spans="1:24" ht="12.75">
      <c r="A5" s="4" t="s">
        <v>29</v>
      </c>
      <c r="B5" s="70"/>
      <c r="C5" s="4"/>
      <c r="D5" s="4"/>
      <c r="E5" s="31">
        <f>IF(E3="","",IF('Tjänste p-förlust'!G11="X","förhöjt prisbasbelopp",IF(E3&lt;2003,"förhöjt prisbasbelopp","Inkomstbasbelopp")))</f>
      </c>
      <c r="F5" s="4"/>
      <c r="G5" s="4"/>
      <c r="H5" s="4"/>
      <c r="I5" s="4" t="s">
        <v>84</v>
      </c>
      <c r="J5" s="225"/>
      <c r="K5" s="209">
        <f>SUM(E4)</f>
        <v>0</v>
      </c>
      <c r="L5" s="217">
        <f>SUM(K5*7.5)</f>
        <v>0</v>
      </c>
      <c r="M5" s="226" t="s">
        <v>85</v>
      </c>
      <c r="N5" s="224">
        <f>IF(K6=0,"",SUM(N4/30))</f>
      </c>
      <c r="O5" s="227" t="s">
        <v>85</v>
      </c>
      <c r="P5" s="228"/>
      <c r="Q5" s="229">
        <f>IF(K6=0,"",SUM(Q4/30))</f>
      </c>
      <c r="R5" s="253"/>
      <c r="S5" s="222">
        <v>2010</v>
      </c>
      <c r="T5" s="263">
        <v>1</v>
      </c>
      <c r="U5" s="17"/>
      <c r="V5" s="17"/>
      <c r="W5" s="17"/>
      <c r="X5" s="17"/>
    </row>
    <row r="6" spans="1:24" ht="12.75">
      <c r="A6" s="4"/>
      <c r="B6" s="4"/>
      <c r="C6" s="4"/>
      <c r="D6" s="4"/>
      <c r="E6" s="26">
        <f>IF(E3="","","(basbelopp som används")</f>
      </c>
      <c r="F6" s="4"/>
      <c r="G6" s="4"/>
      <c r="H6" s="4"/>
      <c r="I6" s="4" t="s">
        <v>86</v>
      </c>
      <c r="J6" s="230"/>
      <c r="K6" s="67">
        <f>SUM(C25)</f>
        <v>0</v>
      </c>
      <c r="L6" s="230"/>
      <c r="M6" s="231">
        <f>SUM(J14+55%)</f>
        <v>0.68</v>
      </c>
      <c r="N6" s="232">
        <f>IF(N5="","",N5*M6)</f>
      </c>
      <c r="O6" s="233">
        <f>SUM(M6)</f>
        <v>0.68</v>
      </c>
      <c r="P6" s="234"/>
      <c r="Q6" s="235">
        <f>IF(Q5="","",SUM(Q5*O6))</f>
      </c>
      <c r="R6" s="71"/>
      <c r="S6" s="222">
        <v>2011</v>
      </c>
      <c r="T6" s="263">
        <v>1</v>
      </c>
      <c r="U6" s="17"/>
      <c r="V6" s="17"/>
      <c r="W6" s="17"/>
      <c r="X6" s="17"/>
    </row>
    <row r="7" spans="1:24" ht="12.75">
      <c r="A7" s="4" t="s">
        <v>30</v>
      </c>
      <c r="B7" s="70"/>
      <c r="C7" s="4"/>
      <c r="D7" s="4"/>
      <c r="E7" s="26">
        <f>IF(E4="","","vid beräkning)")</f>
      </c>
      <c r="F7" s="4"/>
      <c r="G7" s="4"/>
      <c r="H7" s="4"/>
      <c r="I7" s="4" t="s">
        <v>87</v>
      </c>
      <c r="J7" s="230"/>
      <c r="K7" s="217">
        <f>SUM(C30)</f>
        <v>0</v>
      </c>
      <c r="L7" s="230"/>
      <c r="M7" s="233">
        <f>SUM(N11)</f>
        <v>0.55</v>
      </c>
      <c r="N7" s="235">
        <f>IF(N5="","",SUM(N5*M7))</f>
      </c>
      <c r="O7" s="233">
        <f>SUM(P11)</f>
        <v>0.55</v>
      </c>
      <c r="P7" s="234"/>
      <c r="Q7" s="235">
        <f>IF(Q5="","",SUM(Q5*O7))</f>
      </c>
      <c r="R7" s="71"/>
      <c r="S7" s="264">
        <v>2012</v>
      </c>
      <c r="T7" s="265">
        <v>1</v>
      </c>
      <c r="U7" s="17"/>
      <c r="V7" s="17"/>
      <c r="W7" s="17"/>
      <c r="X7" s="17"/>
    </row>
    <row r="8" spans="1:24" ht="12.75">
      <c r="A8" s="4"/>
      <c r="B8" s="4"/>
      <c r="C8" s="4"/>
      <c r="D8" s="4"/>
      <c r="E8" s="4"/>
      <c r="F8" s="4"/>
      <c r="G8" s="4"/>
      <c r="H8" s="4"/>
      <c r="I8" s="4"/>
      <c r="J8" s="230"/>
      <c r="K8" s="236"/>
      <c r="L8" s="4" t="s">
        <v>88</v>
      </c>
      <c r="M8" s="17"/>
      <c r="N8" s="262">
        <f>SUM(C27)</f>
        <v>0</v>
      </c>
      <c r="O8" s="17"/>
      <c r="P8" s="245">
        <f>SUM(D27)</f>
        <v>0</v>
      </c>
      <c r="Q8" s="17"/>
      <c r="R8" s="17"/>
      <c r="S8" s="17"/>
      <c r="T8" s="17"/>
      <c r="U8" s="17"/>
      <c r="V8" s="17"/>
      <c r="W8" s="17"/>
      <c r="X8" s="17"/>
    </row>
    <row r="9" spans="1:24" ht="12.75">
      <c r="A9" s="24"/>
      <c r="B9" s="24"/>
      <c r="C9" s="23"/>
      <c r="D9" s="24"/>
      <c r="E9" s="29"/>
      <c r="F9" s="4"/>
      <c r="G9" s="4"/>
      <c r="H9" s="4"/>
      <c r="I9" s="17"/>
      <c r="J9" s="17"/>
      <c r="K9" s="17"/>
      <c r="L9" s="4" t="s">
        <v>89</v>
      </c>
      <c r="M9" s="17"/>
      <c r="N9" s="24">
        <f>SUM(C28)</f>
        <v>0</v>
      </c>
      <c r="O9" s="17"/>
      <c r="P9" s="177">
        <f>SUM(D28)</f>
        <v>0</v>
      </c>
      <c r="Q9" s="17"/>
      <c r="R9" s="17"/>
      <c r="S9" s="177"/>
      <c r="T9" s="17"/>
      <c r="U9" s="17"/>
      <c r="V9" s="17"/>
      <c r="W9" s="17"/>
      <c r="X9" s="17"/>
    </row>
    <row r="10" spans="1:24" ht="12.75">
      <c r="A10" s="47" t="s">
        <v>152</v>
      </c>
      <c r="B10" s="11"/>
      <c r="C10" s="11"/>
      <c r="D10" s="11"/>
      <c r="E10" s="11"/>
      <c r="F10" s="12"/>
      <c r="G10" s="4"/>
      <c r="H10" s="4"/>
      <c r="I10" s="230"/>
      <c r="J10" s="237"/>
      <c r="K10" s="237"/>
      <c r="L10" s="17"/>
      <c r="M10" s="165" t="s">
        <v>66</v>
      </c>
      <c r="N10" s="215">
        <f>IF(C22="",ROUND(4.5%*13/4.5,2),ROUND(C22*13/4.5,2))</f>
        <v>0.13</v>
      </c>
      <c r="O10" s="165"/>
      <c r="P10" s="215">
        <f>IF(C32="",ROUND(4.5%*13/4.5,2),ROUND(C32*13/4.5,2))</f>
        <v>0.13</v>
      </c>
      <c r="Q10" s="165"/>
      <c r="R10" s="165"/>
      <c r="S10" s="214"/>
      <c r="T10" s="17"/>
      <c r="U10" s="17"/>
      <c r="V10" s="17"/>
      <c r="W10" s="17"/>
      <c r="X10" s="17"/>
    </row>
    <row r="11" spans="1:24" ht="12.75">
      <c r="A11" s="302" t="s">
        <v>25</v>
      </c>
      <c r="B11" s="4"/>
      <c r="C11" s="4"/>
      <c r="D11" s="4"/>
      <c r="E11" s="4"/>
      <c r="F11" s="53"/>
      <c r="G11" s="4"/>
      <c r="H11" s="4"/>
      <c r="I11" s="230"/>
      <c r="J11" s="237"/>
      <c r="K11" s="237"/>
      <c r="L11" s="237"/>
      <c r="M11" s="165" t="s">
        <v>67</v>
      </c>
      <c r="N11" s="238">
        <f>ROUND((N9*13/4.5)+55%,2)</f>
        <v>0.55</v>
      </c>
      <c r="O11" s="238"/>
      <c r="P11" s="238">
        <f>ROUND((P9*13/4.5)+55%,2)</f>
        <v>0.55</v>
      </c>
      <c r="Q11" s="238"/>
      <c r="R11" s="238"/>
      <c r="S11" s="238"/>
      <c r="T11" s="17"/>
      <c r="U11" s="17"/>
      <c r="V11" s="17"/>
      <c r="W11" s="17"/>
      <c r="X11" s="17"/>
    </row>
    <row r="12" spans="1:24" ht="12.75">
      <c r="A12" s="303" t="s">
        <v>26</v>
      </c>
      <c r="B12" s="13"/>
      <c r="C12" s="13"/>
      <c r="D12" s="13"/>
      <c r="E12" s="13"/>
      <c r="F12" s="14"/>
      <c r="G12" s="4"/>
      <c r="H12" s="4"/>
      <c r="I12" s="60"/>
      <c r="J12" s="98"/>
      <c r="K12" s="239" t="s">
        <v>90</v>
      </c>
      <c r="L12" s="99"/>
      <c r="M12" s="99"/>
      <c r="N12" s="99"/>
      <c r="O12" s="99"/>
      <c r="P12" s="100"/>
      <c r="Q12" s="98"/>
      <c r="R12" s="239" t="s">
        <v>91</v>
      </c>
      <c r="S12" s="240"/>
      <c r="T12" s="99"/>
      <c r="U12" s="99"/>
      <c r="V12" s="99"/>
      <c r="W12" s="100"/>
      <c r="X12" s="17"/>
    </row>
    <row r="13" spans="1:24" ht="12.75">
      <c r="A13" s="4"/>
      <c r="B13" s="4"/>
      <c r="C13" s="4"/>
      <c r="D13" s="4"/>
      <c r="E13" s="4"/>
      <c r="F13" s="4"/>
      <c r="G13" s="4"/>
      <c r="H13" s="4"/>
      <c r="I13" s="17"/>
      <c r="J13" s="222"/>
      <c r="K13" s="17"/>
      <c r="L13" s="17" t="s">
        <v>66</v>
      </c>
      <c r="M13" s="17" t="s">
        <v>67</v>
      </c>
      <c r="N13" s="17"/>
      <c r="O13" s="17"/>
      <c r="P13" s="241" t="s">
        <v>57</v>
      </c>
      <c r="Q13" s="222"/>
      <c r="R13" s="17" t="s">
        <v>66</v>
      </c>
      <c r="S13" s="43"/>
      <c r="T13" s="17" t="s">
        <v>67</v>
      </c>
      <c r="U13" s="17"/>
      <c r="V13" s="17"/>
      <c r="W13" s="241" t="s">
        <v>92</v>
      </c>
      <c r="X13" s="17"/>
    </row>
    <row r="14" spans="1:24" ht="12.75">
      <c r="A14" s="24" t="s">
        <v>171</v>
      </c>
      <c r="B14" s="4"/>
      <c r="C14" s="4"/>
      <c r="D14" s="4"/>
      <c r="E14" s="4"/>
      <c r="F14" s="4"/>
      <c r="G14" s="4"/>
      <c r="H14" s="4"/>
      <c r="I14" s="242"/>
      <c r="J14" s="213">
        <v>0.13</v>
      </c>
      <c r="K14" s="60">
        <f>IF($N$4=0,$N$2*J14/30,N3*J14/30)</f>
        <v>0</v>
      </c>
      <c r="L14" s="17"/>
      <c r="M14" s="17"/>
      <c r="N14" s="59" t="s">
        <v>133</v>
      </c>
      <c r="O14" s="59" t="s">
        <v>134</v>
      </c>
      <c r="P14" s="224">
        <f>SUM(K14)</f>
        <v>0</v>
      </c>
      <c r="Q14" s="213">
        <v>0.13</v>
      </c>
      <c r="R14" s="60">
        <f>IF(Q4=0,Q2*Q14/30,Q3*Q14/30)</f>
        <v>0</v>
      </c>
      <c r="S14" s="43"/>
      <c r="T14" s="17"/>
      <c r="U14" s="59" t="s">
        <v>133</v>
      </c>
      <c r="V14" s="59" t="s">
        <v>134</v>
      </c>
      <c r="W14" s="224">
        <f>SUM(R14)</f>
        <v>0</v>
      </c>
      <c r="X14" s="17"/>
    </row>
    <row r="15" spans="1:24" ht="12.75">
      <c r="A15" s="304"/>
      <c r="B15" s="4"/>
      <c r="C15" s="4"/>
      <c r="D15" s="4"/>
      <c r="E15" s="4"/>
      <c r="F15" s="4"/>
      <c r="G15" s="4"/>
      <c r="H15" s="4"/>
      <c r="I15" s="206"/>
      <c r="J15" s="213">
        <f>IF(C28="",ROUND(4.5%*13/4.5,2),ROUND(C28*13/4.5,2))</f>
        <v>0.13</v>
      </c>
      <c r="K15" s="60">
        <f>IF($N$4=0,$N$2*J15/30,N3*J15/30)</f>
        <v>0</v>
      </c>
      <c r="L15" s="17"/>
      <c r="M15" s="60"/>
      <c r="N15" s="59" t="s">
        <v>135</v>
      </c>
      <c r="O15" s="59" t="s">
        <v>136</v>
      </c>
      <c r="P15" s="224">
        <f>SUM(K15)</f>
        <v>0</v>
      </c>
      <c r="Q15" s="213">
        <f>IF(D28="",ROUND(4.5%*13/4.5,2),ROUND(D28*13/4.5,2))</f>
        <v>0.13</v>
      </c>
      <c r="R15" s="60">
        <f>IF(Q4=0,Q2*Q15/30,Q3*Q15/30)</f>
        <v>0</v>
      </c>
      <c r="S15" s="43"/>
      <c r="T15" s="17"/>
      <c r="U15" s="59" t="s">
        <v>135</v>
      </c>
      <c r="V15" s="59" t="s">
        <v>136</v>
      </c>
      <c r="W15" s="224">
        <f>SUM(R15)</f>
        <v>0</v>
      </c>
      <c r="X15" s="17"/>
    </row>
    <row r="16" spans="1:24" ht="12.75">
      <c r="A16" s="4"/>
      <c r="B16" s="4"/>
      <c r="C16" s="4"/>
      <c r="D16" s="4"/>
      <c r="E16" s="4"/>
      <c r="F16" s="4"/>
      <c r="G16" s="4"/>
      <c r="H16" s="4"/>
      <c r="I16" s="207"/>
      <c r="J16" s="210">
        <f>IF(K3=0,"",SUM(L3-K6+1))</f>
      </c>
      <c r="K16" s="211">
        <f>IF(J16&lt;$C$23,$C$30,IF(J16="","",IF($N$8&lt;=J16,$K$15,$K$14)))</f>
      </c>
      <c r="L16" s="211">
        <f>IF(J16=$N$8,"höjning","")</f>
      </c>
      <c r="M16" s="211">
        <f>IF(J16&lt;$C$23,$C$30*0.13/30,IF(J16="","",IF($C$27="",$N$6,(IF(J16&lt;$N$8,$N$6,$N$7)))))</f>
      </c>
      <c r="N16" s="266">
        <f>IF(J16="","",IF(J16&lt;2008,100%,LOOKUP(J16,$S$3:S$7,$T$3:$T$7)))</f>
      </c>
      <c r="O16" s="211">
        <f>IF(J16="","",IF(N16=13%,$N$5*13%,M16*N16))</f>
      </c>
      <c r="P16" s="220">
        <f>IF(J16&lt;$C$23,0,IF(J16&lt;$C$23,O16,IF(J16="","",SUM(K16+O16))))</f>
      </c>
      <c r="Q16" s="244">
        <f aca="true" t="shared" si="0" ref="Q16:Q45">IF(J16="","",J16)</f>
      </c>
      <c r="R16" s="211">
        <f>IF(Q16&lt;$C$23,$C$30,IF(Q16="","",IF(Q16&lt;$P$8,$R$14,$R$15)))</f>
      </c>
      <c r="S16" s="240">
        <f>IF($P$8=Q16,"höjning","")</f>
      </c>
      <c r="T16" s="211">
        <f>IF(Q16&lt;$C$23,$C$30*0.13/30,IF(Q16="","",IF($C$27="",$Q$6,(IF(Q16&lt;$C$27,$Q$6,$Q$7)))))</f>
      </c>
      <c r="U16" s="266">
        <f>IF(Q16="","",IF(Q16&lt;2008,100%,LOOKUP(J16,$S$3:S$7,$T$3:$T$7)))</f>
      </c>
      <c r="V16" s="243">
        <f>IF(Q16="","",IF(N16=13%,$Q$5*13%,T16*U16))</f>
      </c>
      <c r="W16" s="220">
        <f>IF(Q16&lt;$C$23,0,IF(Q16&lt;$C$23,V16,IF(Q16="","",SUM(R16+V16))))</f>
      </c>
      <c r="X16" s="60">
        <v>1</v>
      </c>
    </row>
    <row r="17" spans="1:24" ht="12.75">
      <c r="A17" s="1"/>
      <c r="B17" s="4"/>
      <c r="C17" s="4"/>
      <c r="D17" s="4"/>
      <c r="E17" s="4"/>
      <c r="F17" s="4"/>
      <c r="G17" s="4"/>
      <c r="H17" s="4"/>
      <c r="I17" s="17"/>
      <c r="J17" s="77">
        <f>IF(J16&lt;$L$3,J16+1,"")</f>
      </c>
      <c r="K17" s="331">
        <f aca="true" t="shared" si="1" ref="K17:K45">IF(J17&lt;$C$23,$C$30,IF(J17="","",IF($N$8&lt;=J17,$K$15,$K$14)))</f>
      </c>
      <c r="L17" s="331">
        <f aca="true" t="shared" si="2" ref="L17:L45">IF(J17=$N$8,"höjning","")</f>
      </c>
      <c r="M17" s="331">
        <f aca="true" t="shared" si="3" ref="M17:M45">IF(J17&lt;$C$23,$C$30*0.13/30,IF(J17="","",IF($C$27="",$N$6,(IF(J17&lt;$N$8,$N$6,$N$7)))))</f>
      </c>
      <c r="N17" s="385">
        <f>IF(J17="","",IF(J17&lt;2008,100%,LOOKUP(J17,$S$3:S$7,$T$3:$T$7)))</f>
      </c>
      <c r="O17" s="331">
        <f aca="true" t="shared" si="4" ref="O17:O45">IF(J17="","",IF(N17=13%,$N$5*13%,M17*N17))</f>
      </c>
      <c r="P17" s="224">
        <f aca="true" t="shared" si="5" ref="P17:P45">IF(J17&lt;$C$23,0,IF(J17&lt;$C$23,O17,IF(J17="","",SUM(K17+O17))))</f>
      </c>
      <c r="Q17" s="246">
        <f t="shared" si="0"/>
      </c>
      <c r="R17" s="331">
        <f aca="true" t="shared" si="6" ref="R17:R45">IF(Q17&lt;$C$23,$C$30,IF(Q17="","",IF(Q17&lt;$P$8,$R$14,$R$15)))</f>
      </c>
      <c r="S17" s="389">
        <f aca="true" t="shared" si="7" ref="S17:S45">IF($P$8=Q17,"höjning","")</f>
      </c>
      <c r="T17" s="331">
        <f aca="true" t="shared" si="8" ref="T17:T45">IF(Q17&lt;$C$23,$C$30*0.13/30,IF(Q17="","",IF($C$27="",$Q$6,(IF(Q17&lt;$C$27,$Q$6,$Q$7)))))</f>
      </c>
      <c r="U17" s="385">
        <f>IF(Q17="","",IF(Q17&lt;2008,100%,LOOKUP(J17,$S$3:S$7,$T$3:$T$7)))</f>
      </c>
      <c r="V17" s="390">
        <f aca="true" t="shared" si="9" ref="V17:V45">IF(Q17="","",IF(N17=13%,$Q$5*13%,T17*U17))</f>
      </c>
      <c r="W17" s="224">
        <f aca="true" t="shared" si="10" ref="W17:W45">IF(Q17&lt;$C$23,0,IF(Q17&lt;$C$23,V17,IF(Q17="","",SUM(R17+V17))))</f>
      </c>
      <c r="X17" s="60">
        <v>2</v>
      </c>
    </row>
    <row r="18" spans="1:24" ht="12.75">
      <c r="A18" s="4"/>
      <c r="B18" s="4"/>
      <c r="C18" s="4"/>
      <c r="D18" s="4"/>
      <c r="E18" s="4"/>
      <c r="F18" s="4"/>
      <c r="G18" s="4"/>
      <c r="H18" s="4"/>
      <c r="I18" s="207"/>
      <c r="J18" s="77">
        <f aca="true" t="shared" si="11" ref="J18:J45">IF(J17&lt;$L$3,J17+1,"")</f>
      </c>
      <c r="K18" s="331">
        <f t="shared" si="1"/>
      </c>
      <c r="L18" s="331">
        <f t="shared" si="2"/>
      </c>
      <c r="M18" s="331">
        <f t="shared" si="3"/>
      </c>
      <c r="N18" s="385">
        <f>IF(J18="","",IF(J18&lt;2008,100%,LOOKUP(J18,$S$3:S$7,$T$3:$T$7)))</f>
      </c>
      <c r="O18" s="331">
        <f t="shared" si="4"/>
      </c>
      <c r="P18" s="224">
        <f t="shared" si="5"/>
      </c>
      <c r="Q18" s="246">
        <f t="shared" si="0"/>
      </c>
      <c r="R18" s="331">
        <f t="shared" si="6"/>
      </c>
      <c r="S18" s="389">
        <f t="shared" si="7"/>
      </c>
      <c r="T18" s="331">
        <f t="shared" si="8"/>
      </c>
      <c r="U18" s="385">
        <f>IF(Q18="","",IF(Q18&lt;2008,100%,LOOKUP(J18,$S$3:S$7,$T$3:$T$7)))</f>
      </c>
      <c r="V18" s="390">
        <f t="shared" si="9"/>
      </c>
      <c r="W18" s="224">
        <f t="shared" si="10"/>
      </c>
      <c r="X18" s="60">
        <v>3</v>
      </c>
    </row>
    <row r="19" spans="1:24" ht="12.75">
      <c r="A19" s="4"/>
      <c r="B19" s="4"/>
      <c r="C19" s="4"/>
      <c r="D19" s="4"/>
      <c r="E19" s="4"/>
      <c r="F19" s="4"/>
      <c r="G19" s="4"/>
      <c r="H19" s="4"/>
      <c r="I19" s="17"/>
      <c r="J19" s="77">
        <f t="shared" si="11"/>
      </c>
      <c r="K19" s="331">
        <f t="shared" si="1"/>
      </c>
      <c r="L19" s="331">
        <f t="shared" si="2"/>
      </c>
      <c r="M19" s="331">
        <f t="shared" si="3"/>
      </c>
      <c r="N19" s="385">
        <f>IF(J19="","",IF(J19&lt;2008,100%,LOOKUP(J19,$S$3:S$7,$T$3:$T$7)))</f>
      </c>
      <c r="O19" s="331">
        <f t="shared" si="4"/>
      </c>
      <c r="P19" s="224">
        <f t="shared" si="5"/>
      </c>
      <c r="Q19" s="246">
        <f t="shared" si="0"/>
      </c>
      <c r="R19" s="331">
        <f t="shared" si="6"/>
      </c>
      <c r="S19" s="389">
        <f t="shared" si="7"/>
      </c>
      <c r="T19" s="331">
        <f t="shared" si="8"/>
      </c>
      <c r="U19" s="385">
        <f>IF(Q19="","",IF(Q19&lt;2008,100%,LOOKUP(J19,$S$3:S$7,$T$3:$T$7)))</f>
      </c>
      <c r="V19" s="390">
        <f t="shared" si="9"/>
      </c>
      <c r="W19" s="224">
        <f t="shared" si="10"/>
      </c>
      <c r="X19" s="60">
        <v>4</v>
      </c>
    </row>
    <row r="20" spans="1:24" ht="12.75">
      <c r="A20" s="4"/>
      <c r="B20" s="4"/>
      <c r="C20" s="45" t="s">
        <v>153</v>
      </c>
      <c r="D20" s="95"/>
      <c r="E20" s="95"/>
      <c r="F20" s="95"/>
      <c r="G20" s="4"/>
      <c r="H20" s="4"/>
      <c r="I20" s="207"/>
      <c r="J20" s="77">
        <f t="shared" si="11"/>
      </c>
      <c r="K20" s="331">
        <f t="shared" si="1"/>
      </c>
      <c r="L20" s="331">
        <f t="shared" si="2"/>
      </c>
      <c r="M20" s="331">
        <f t="shared" si="3"/>
      </c>
      <c r="N20" s="385">
        <f>IF(J20="","",IF(J20&lt;2008,100%,LOOKUP(J20,$S$3:S$7,$T$3:$T$7)))</f>
      </c>
      <c r="O20" s="331">
        <f t="shared" si="4"/>
      </c>
      <c r="P20" s="224">
        <f t="shared" si="5"/>
      </c>
      <c r="Q20" s="246">
        <f t="shared" si="0"/>
      </c>
      <c r="R20" s="331">
        <f t="shared" si="6"/>
      </c>
      <c r="S20" s="389">
        <f t="shared" si="7"/>
      </c>
      <c r="T20" s="331">
        <f t="shared" si="8"/>
      </c>
      <c r="U20" s="385">
        <f>IF(Q20="","",IF(Q20&lt;2008,100%,LOOKUP(J20,$S$3:S$7,$T$3:$T$7)))</f>
      </c>
      <c r="V20" s="390">
        <f t="shared" si="9"/>
      </c>
      <c r="W20" s="224">
        <f t="shared" si="10"/>
      </c>
      <c r="X20" s="60">
        <v>5</v>
      </c>
    </row>
    <row r="21" spans="1:24" ht="12.75">
      <c r="A21" s="1"/>
      <c r="B21" s="17"/>
      <c r="C21" s="95"/>
      <c r="D21" s="95"/>
      <c r="E21" s="95"/>
      <c r="F21" s="95"/>
      <c r="G21" s="4"/>
      <c r="H21" s="4"/>
      <c r="I21" s="17"/>
      <c r="J21" s="77">
        <f t="shared" si="11"/>
      </c>
      <c r="K21" s="331">
        <f t="shared" si="1"/>
      </c>
      <c r="L21" s="331">
        <f t="shared" si="2"/>
      </c>
      <c r="M21" s="331">
        <f t="shared" si="3"/>
      </c>
      <c r="N21" s="385">
        <f>IF(J21="","",IF(J21&lt;2008,100%,LOOKUP(J21,$S$3:S$7,$T$3:$T$7)))</f>
      </c>
      <c r="O21" s="331">
        <f t="shared" si="4"/>
      </c>
      <c r="P21" s="224">
        <f t="shared" si="5"/>
      </c>
      <c r="Q21" s="246">
        <f t="shared" si="0"/>
      </c>
      <c r="R21" s="331">
        <f t="shared" si="6"/>
      </c>
      <c r="S21" s="389">
        <f t="shared" si="7"/>
      </c>
      <c r="T21" s="331">
        <f t="shared" si="8"/>
      </c>
      <c r="U21" s="385">
        <f>IF(Q21="","",IF(Q21&lt;2008,100%,LOOKUP(J21,$S$3:S$7,$T$3:$T$7)))</f>
      </c>
      <c r="V21" s="390">
        <f t="shared" si="9"/>
      </c>
      <c r="W21" s="224">
        <f t="shared" si="10"/>
      </c>
      <c r="X21" s="60">
        <v>6</v>
      </c>
    </row>
    <row r="22" spans="1:24" ht="12.75">
      <c r="A22" s="293"/>
      <c r="B22" s="17"/>
      <c r="C22" s="17"/>
      <c r="D22" s="17"/>
      <c r="E22" s="133" t="s">
        <v>143</v>
      </c>
      <c r="F22" s="4"/>
      <c r="G22" s="4"/>
      <c r="H22" s="4"/>
      <c r="I22" s="207"/>
      <c r="J22" s="77">
        <f t="shared" si="11"/>
      </c>
      <c r="K22" s="331">
        <f t="shared" si="1"/>
      </c>
      <c r="L22" s="331">
        <f t="shared" si="2"/>
      </c>
      <c r="M22" s="331">
        <f t="shared" si="3"/>
      </c>
      <c r="N22" s="385">
        <f>IF(J22="","",IF(J22&lt;2008,100%,LOOKUP(J22,$S$3:S$7,$T$3:$T$7)))</f>
      </c>
      <c r="O22" s="331">
        <f t="shared" si="4"/>
      </c>
      <c r="P22" s="224">
        <f t="shared" si="5"/>
      </c>
      <c r="Q22" s="246">
        <f t="shared" si="0"/>
      </c>
      <c r="R22" s="331">
        <f t="shared" si="6"/>
      </c>
      <c r="S22" s="389">
        <f t="shared" si="7"/>
      </c>
      <c r="T22" s="331">
        <f t="shared" si="8"/>
      </c>
      <c r="U22" s="385">
        <f>IF(Q22="","",IF(Q22&lt;2008,100%,LOOKUP(J22,$S$3:S$7,$T$3:$T$7)))</f>
      </c>
      <c r="V22" s="390">
        <f t="shared" si="9"/>
      </c>
      <c r="W22" s="224">
        <f t="shared" si="10"/>
      </c>
      <c r="X22" s="60">
        <v>7</v>
      </c>
    </row>
    <row r="23" spans="1:24" ht="12.75">
      <c r="A23" s="1"/>
      <c r="B23" s="1" t="s">
        <v>35</v>
      </c>
      <c r="C23" s="73"/>
      <c r="D23" s="201" t="s">
        <v>36</v>
      </c>
      <c r="E23" s="26" t="s">
        <v>144</v>
      </c>
      <c r="F23" s="4"/>
      <c r="G23" s="4"/>
      <c r="H23" s="4"/>
      <c r="I23" s="17"/>
      <c r="J23" s="77">
        <f t="shared" si="11"/>
      </c>
      <c r="K23" s="331">
        <f t="shared" si="1"/>
      </c>
      <c r="L23" s="331">
        <f t="shared" si="2"/>
      </c>
      <c r="M23" s="331">
        <f t="shared" si="3"/>
      </c>
      <c r="N23" s="385">
        <f>IF(J23="","",IF(J23&lt;2008,100%,LOOKUP(J23,$S$3:S$7,$T$3:$T$7)))</f>
      </c>
      <c r="O23" s="331">
        <f t="shared" si="4"/>
      </c>
      <c r="P23" s="224">
        <f t="shared" si="5"/>
      </c>
      <c r="Q23" s="246">
        <f t="shared" si="0"/>
      </c>
      <c r="R23" s="331">
        <f t="shared" si="6"/>
      </c>
      <c r="S23" s="389">
        <f t="shared" si="7"/>
      </c>
      <c r="T23" s="331">
        <f t="shared" si="8"/>
      </c>
      <c r="U23" s="385">
        <f>IF(Q23="","",IF(Q23&lt;2008,100%,LOOKUP(J23,$S$3:S$7,$T$3:$T$7)))</f>
      </c>
      <c r="V23" s="390">
        <f t="shared" si="9"/>
      </c>
      <c r="W23" s="224">
        <f t="shared" si="10"/>
      </c>
      <c r="X23" s="60">
        <v>8</v>
      </c>
    </row>
    <row r="24" spans="1:24" ht="12.75">
      <c r="A24" s="1"/>
      <c r="B24" s="1" t="s">
        <v>40</v>
      </c>
      <c r="C24" s="73"/>
      <c r="D24" s="202">
        <f>IF(C24="","",C24+65)</f>
      </c>
      <c r="E24" s="203">
        <f>IF(C23="","",D24-C23+1)</f>
      </c>
      <c r="F24" s="4"/>
      <c r="G24" s="4"/>
      <c r="H24" s="4"/>
      <c r="I24" s="207"/>
      <c r="J24" s="77">
        <f t="shared" si="11"/>
      </c>
      <c r="K24" s="331">
        <f t="shared" si="1"/>
      </c>
      <c r="L24" s="331">
        <f t="shared" si="2"/>
      </c>
      <c r="M24" s="331">
        <f t="shared" si="3"/>
      </c>
      <c r="N24" s="385">
        <f>IF(J24="","",IF(J24&lt;2008,100%,LOOKUP(J24,$S$3:S$7,$T$3:$T$7)))</f>
      </c>
      <c r="O24" s="331">
        <f t="shared" si="4"/>
      </c>
      <c r="P24" s="224">
        <f t="shared" si="5"/>
      </c>
      <c r="Q24" s="246">
        <f t="shared" si="0"/>
      </c>
      <c r="R24" s="331">
        <f t="shared" si="6"/>
      </c>
      <c r="S24" s="389">
        <f t="shared" si="7"/>
      </c>
      <c r="T24" s="331">
        <f t="shared" si="8"/>
      </c>
      <c r="U24" s="385">
        <f>IF(Q24="","",IF(Q24&lt;2008,100%,LOOKUP(J24,$S$3:S$7,$T$3:$T$7)))</f>
      </c>
      <c r="V24" s="390">
        <f t="shared" si="9"/>
      </c>
      <c r="W24" s="224">
        <f t="shared" si="10"/>
      </c>
      <c r="X24" s="60">
        <v>9</v>
      </c>
    </row>
    <row r="25" spans="1:24" ht="12.75">
      <c r="A25" s="1"/>
      <c r="B25" s="1" t="s">
        <v>145</v>
      </c>
      <c r="C25" s="73"/>
      <c r="D25" s="4"/>
      <c r="E25" s="23"/>
      <c r="F25" s="4"/>
      <c r="G25" s="4"/>
      <c r="H25" s="4"/>
      <c r="I25" s="17"/>
      <c r="J25" s="77">
        <f t="shared" si="11"/>
      </c>
      <c r="K25" s="331">
        <f t="shared" si="1"/>
      </c>
      <c r="L25" s="331">
        <f t="shared" si="2"/>
      </c>
      <c r="M25" s="331">
        <f t="shared" si="3"/>
      </c>
      <c r="N25" s="385">
        <f>IF(J25="","",IF(J25&lt;2008,100%,LOOKUP(J25,$S$3:S$7,$T$3:$T$7)))</f>
      </c>
      <c r="O25" s="331">
        <f t="shared" si="4"/>
      </c>
      <c r="P25" s="224">
        <f t="shared" si="5"/>
      </c>
      <c r="Q25" s="246">
        <f t="shared" si="0"/>
      </c>
      <c r="R25" s="331">
        <f t="shared" si="6"/>
      </c>
      <c r="S25" s="389">
        <f t="shared" si="7"/>
      </c>
      <c r="T25" s="331">
        <f t="shared" si="8"/>
      </c>
      <c r="U25" s="385">
        <f>IF(Q25="","",IF(Q25&lt;2008,100%,LOOKUP(J25,$S$3:S$7,$T$3:$T$7)))</f>
      </c>
      <c r="V25" s="390">
        <f t="shared" si="9"/>
      </c>
      <c r="W25" s="224">
        <f t="shared" si="10"/>
      </c>
      <c r="X25" s="60">
        <v>10</v>
      </c>
    </row>
    <row r="26" spans="1:24" ht="12.75">
      <c r="A26" s="1"/>
      <c r="B26" s="1"/>
      <c r="C26" s="167" t="s">
        <v>52</v>
      </c>
      <c r="D26" s="58" t="s">
        <v>47</v>
      </c>
      <c r="E26" s="23"/>
      <c r="F26" s="4"/>
      <c r="G26" s="4"/>
      <c r="H26" s="4"/>
      <c r="I26" s="207"/>
      <c r="J26" s="77">
        <f t="shared" si="11"/>
      </c>
      <c r="K26" s="331">
        <f t="shared" si="1"/>
      </c>
      <c r="L26" s="331">
        <f t="shared" si="2"/>
      </c>
      <c r="M26" s="331">
        <f t="shared" si="3"/>
      </c>
      <c r="N26" s="385">
        <f>IF(J26="","",IF(J26&lt;2008,100%,LOOKUP(J26,$S$3:S$7,$T$3:$T$7)))</f>
      </c>
      <c r="O26" s="331">
        <f t="shared" si="4"/>
      </c>
      <c r="P26" s="224">
        <f t="shared" si="5"/>
      </c>
      <c r="Q26" s="246">
        <f t="shared" si="0"/>
      </c>
      <c r="R26" s="331">
        <f t="shared" si="6"/>
      </c>
      <c r="S26" s="389">
        <f t="shared" si="7"/>
      </c>
      <c r="T26" s="331">
        <f t="shared" si="8"/>
      </c>
      <c r="U26" s="385">
        <f>IF(Q26="","",IF(Q26&lt;2008,100%,LOOKUP(J26,$S$3:S$7,$T$3:$T$7)))</f>
      </c>
      <c r="V26" s="390">
        <f t="shared" si="9"/>
      </c>
      <c r="W26" s="224">
        <f t="shared" si="10"/>
      </c>
      <c r="X26" s="60">
        <v>11</v>
      </c>
    </row>
    <row r="27" spans="1:24" ht="12.75">
      <c r="A27" s="1"/>
      <c r="B27" s="1" t="s">
        <v>95</v>
      </c>
      <c r="C27" s="267"/>
      <c r="D27" s="381"/>
      <c r="E27" s="23"/>
      <c r="F27" s="4"/>
      <c r="G27" s="4"/>
      <c r="H27" s="4"/>
      <c r="I27" s="17"/>
      <c r="J27" s="77">
        <f t="shared" si="11"/>
      </c>
      <c r="K27" s="331">
        <f t="shared" si="1"/>
      </c>
      <c r="L27" s="331">
        <f t="shared" si="2"/>
      </c>
      <c r="M27" s="331">
        <f t="shared" si="3"/>
      </c>
      <c r="N27" s="385">
        <f>IF(J27="","",IF(J27&lt;2008,100%,LOOKUP(J27,$S$3:S$7,$T$3:$T$7)))</f>
      </c>
      <c r="O27" s="331">
        <f t="shared" si="4"/>
      </c>
      <c r="P27" s="224">
        <f t="shared" si="5"/>
      </c>
      <c r="Q27" s="246">
        <f t="shared" si="0"/>
      </c>
      <c r="R27" s="331">
        <f t="shared" si="6"/>
      </c>
      <c r="S27" s="389">
        <f t="shared" si="7"/>
      </c>
      <c r="T27" s="331">
        <f t="shared" si="8"/>
      </c>
      <c r="U27" s="385">
        <f>IF(Q27="","",IF(Q27&lt;2008,100%,LOOKUP(J27,$S$3:S$7,$T$3:$T$7)))</f>
      </c>
      <c r="V27" s="390">
        <f t="shared" si="9"/>
      </c>
      <c r="W27" s="224">
        <f t="shared" si="10"/>
      </c>
      <c r="X27" s="60">
        <v>12</v>
      </c>
    </row>
    <row r="28" spans="1:24" ht="12.75">
      <c r="A28" s="1"/>
      <c r="B28" s="1" t="s">
        <v>154</v>
      </c>
      <c r="C28" s="376"/>
      <c r="D28" s="382"/>
      <c r="E28" s="23"/>
      <c r="F28" s="4"/>
      <c r="G28" s="4"/>
      <c r="H28" s="4"/>
      <c r="I28" s="207"/>
      <c r="J28" s="77">
        <f t="shared" si="11"/>
      </c>
      <c r="K28" s="331">
        <f t="shared" si="1"/>
      </c>
      <c r="L28" s="331">
        <f t="shared" si="2"/>
      </c>
      <c r="M28" s="331">
        <f t="shared" si="3"/>
      </c>
      <c r="N28" s="385">
        <f>IF(J28="","",IF(J28&lt;2008,100%,LOOKUP(J28,$S$3:S$7,$T$3:$T$7)))</f>
      </c>
      <c r="O28" s="331">
        <f t="shared" si="4"/>
      </c>
      <c r="P28" s="224">
        <f t="shared" si="5"/>
      </c>
      <c r="Q28" s="246">
        <f t="shared" si="0"/>
      </c>
      <c r="R28" s="331">
        <f t="shared" si="6"/>
      </c>
      <c r="S28" s="389">
        <f t="shared" si="7"/>
      </c>
      <c r="T28" s="331">
        <f t="shared" si="8"/>
      </c>
      <c r="U28" s="385">
        <f>IF(Q28="","",IF(Q28&lt;2008,100%,LOOKUP(J28,$S$3:S$7,$T$3:$T$7)))</f>
      </c>
      <c r="V28" s="390">
        <f t="shared" si="9"/>
      </c>
      <c r="W28" s="224">
        <f t="shared" si="10"/>
      </c>
      <c r="X28" s="60">
        <v>13</v>
      </c>
    </row>
    <row r="29" spans="1:24" ht="12.75">
      <c r="A29" s="1"/>
      <c r="B29" s="4"/>
      <c r="C29" s="4"/>
      <c r="D29" s="4"/>
      <c r="E29" s="49" t="s">
        <v>139</v>
      </c>
      <c r="F29" s="4"/>
      <c r="G29" s="4"/>
      <c r="H29" s="4"/>
      <c r="I29" s="17"/>
      <c r="J29" s="77">
        <f t="shared" si="11"/>
      </c>
      <c r="K29" s="331">
        <f t="shared" si="1"/>
      </c>
      <c r="L29" s="331">
        <f t="shared" si="2"/>
      </c>
      <c r="M29" s="331">
        <f t="shared" si="3"/>
      </c>
      <c r="N29" s="385">
        <f>IF(J29="","",IF(J29&lt;2008,100%,LOOKUP(J29,$S$3:S$7,$T$3:$T$7)))</f>
      </c>
      <c r="O29" s="331">
        <f t="shared" si="4"/>
      </c>
      <c r="P29" s="224">
        <f t="shared" si="5"/>
      </c>
      <c r="Q29" s="246">
        <f t="shared" si="0"/>
      </c>
      <c r="R29" s="331">
        <f t="shared" si="6"/>
      </c>
      <c r="S29" s="389">
        <f t="shared" si="7"/>
      </c>
      <c r="T29" s="331">
        <f t="shared" si="8"/>
      </c>
      <c r="U29" s="385">
        <f>IF(Q29="","",IF(Q29&lt;2008,100%,LOOKUP(J29,$S$3:S$7,$T$3:$T$7)))</f>
      </c>
      <c r="V29" s="390">
        <f t="shared" si="9"/>
      </c>
      <c r="W29" s="224">
        <f t="shared" si="10"/>
      </c>
      <c r="X29" s="60">
        <v>14</v>
      </c>
    </row>
    <row r="30" spans="1:24" ht="12.75">
      <c r="A30" s="17"/>
      <c r="B30" s="1" t="s">
        <v>94</v>
      </c>
      <c r="C30" s="74"/>
      <c r="D30" s="43"/>
      <c r="E30" s="16">
        <f>SUM(P46)</f>
        <v>0</v>
      </c>
      <c r="F30" s="4"/>
      <c r="G30" s="23"/>
      <c r="H30" s="23"/>
      <c r="I30" s="207"/>
      <c r="J30" s="77">
        <f t="shared" si="11"/>
      </c>
      <c r="K30" s="331">
        <f t="shared" si="1"/>
      </c>
      <c r="L30" s="331">
        <f t="shared" si="2"/>
      </c>
      <c r="M30" s="331">
        <f t="shared" si="3"/>
      </c>
      <c r="N30" s="385">
        <f>IF(J30="","",IF(J30&lt;2008,100%,LOOKUP(J30,$S$3:S$7,$T$3:$T$7)))</f>
      </c>
      <c r="O30" s="331">
        <f t="shared" si="4"/>
      </c>
      <c r="P30" s="224">
        <f t="shared" si="5"/>
      </c>
      <c r="Q30" s="246">
        <f t="shared" si="0"/>
      </c>
      <c r="R30" s="331">
        <f t="shared" si="6"/>
      </c>
      <c r="S30" s="389">
        <f t="shared" si="7"/>
      </c>
      <c r="T30" s="331">
        <f t="shared" si="8"/>
      </c>
      <c r="U30" s="385">
        <f>IF(Q30="","",IF(Q30&lt;2008,100%,LOOKUP(J30,$S$3:S$7,$T$3:$T$7)))</f>
      </c>
      <c r="V30" s="390">
        <f t="shared" si="9"/>
      </c>
      <c r="W30" s="224">
        <f t="shared" si="10"/>
      </c>
      <c r="X30" s="60">
        <v>15</v>
      </c>
    </row>
    <row r="31" spans="1:24" ht="12.75">
      <c r="A31" s="3"/>
      <c r="B31" s="1" t="s">
        <v>155</v>
      </c>
      <c r="C31" s="74"/>
      <c r="D31" s="43"/>
      <c r="E31" s="16">
        <f>SUM(W46)</f>
        <v>0</v>
      </c>
      <c r="F31" s="4"/>
      <c r="G31" s="4"/>
      <c r="H31" s="4"/>
      <c r="I31" s="17"/>
      <c r="J31" s="77">
        <f t="shared" si="11"/>
      </c>
      <c r="K31" s="331">
        <f t="shared" si="1"/>
      </c>
      <c r="L31" s="331">
        <f t="shared" si="2"/>
      </c>
      <c r="M31" s="331">
        <f t="shared" si="3"/>
      </c>
      <c r="N31" s="385">
        <f>IF(J31="","",IF(J31&lt;2008,100%,LOOKUP(J31,$S$3:S$7,$T$3:$T$7)))</f>
      </c>
      <c r="O31" s="331">
        <f t="shared" si="4"/>
      </c>
      <c r="P31" s="224">
        <f t="shared" si="5"/>
      </c>
      <c r="Q31" s="246">
        <f t="shared" si="0"/>
      </c>
      <c r="R31" s="331">
        <f t="shared" si="6"/>
      </c>
      <c r="S31" s="389">
        <f t="shared" si="7"/>
      </c>
      <c r="T31" s="331">
        <f t="shared" si="8"/>
      </c>
      <c r="U31" s="385">
        <f>IF(Q31="","",IF(Q31&lt;2008,100%,LOOKUP(J31,$S$3:S$7,$T$3:$T$7)))</f>
      </c>
      <c r="V31" s="390">
        <f t="shared" si="9"/>
      </c>
      <c r="W31" s="224">
        <f t="shared" si="10"/>
      </c>
      <c r="X31" s="60">
        <v>16</v>
      </c>
    </row>
    <row r="32" spans="1:24" ht="13.5" thickBot="1">
      <c r="A32" s="1"/>
      <c r="B32" s="45" t="s">
        <v>156</v>
      </c>
      <c r="C32" s="4"/>
      <c r="D32" s="294"/>
      <c r="E32" s="65">
        <f>MAX(E30-E31,0)</f>
        <v>0</v>
      </c>
      <c r="F32" s="4"/>
      <c r="G32" s="292"/>
      <c r="H32" s="292"/>
      <c r="I32" s="207"/>
      <c r="J32" s="77">
        <f t="shared" si="11"/>
      </c>
      <c r="K32" s="331">
        <f t="shared" si="1"/>
      </c>
      <c r="L32" s="331">
        <f t="shared" si="2"/>
      </c>
      <c r="M32" s="331">
        <f t="shared" si="3"/>
      </c>
      <c r="N32" s="385">
        <f>IF(J32="","",IF(J32&lt;2008,100%,LOOKUP(J32,$S$3:S$7,$T$3:$T$7)))</f>
      </c>
      <c r="O32" s="331">
        <f t="shared" si="4"/>
      </c>
      <c r="P32" s="224">
        <f t="shared" si="5"/>
      </c>
      <c r="Q32" s="246">
        <f t="shared" si="0"/>
      </c>
      <c r="R32" s="331">
        <f t="shared" si="6"/>
      </c>
      <c r="S32" s="389">
        <f t="shared" si="7"/>
      </c>
      <c r="T32" s="331">
        <f t="shared" si="8"/>
      </c>
      <c r="U32" s="385">
        <f>IF(Q32="","",IF(Q32&lt;2008,100%,LOOKUP(J32,$S$3:S$7,$T$3:$T$7)))</f>
      </c>
      <c r="V32" s="390">
        <f t="shared" si="9"/>
      </c>
      <c r="W32" s="224">
        <f t="shared" si="10"/>
      </c>
      <c r="X32" s="60">
        <v>17</v>
      </c>
    </row>
    <row r="33" spans="1:24" ht="12.75">
      <c r="A33" s="1"/>
      <c r="B33" s="282"/>
      <c r="C33" s="283"/>
      <c r="D33" s="283"/>
      <c r="E33" s="284"/>
      <c r="F33" s="283"/>
      <c r="G33" s="283"/>
      <c r="H33" s="283"/>
      <c r="I33" s="17"/>
      <c r="J33" s="77">
        <f t="shared" si="11"/>
      </c>
      <c r="K33" s="331">
        <f t="shared" si="1"/>
      </c>
      <c r="L33" s="331">
        <f t="shared" si="2"/>
      </c>
      <c r="M33" s="331">
        <f t="shared" si="3"/>
      </c>
      <c r="N33" s="385">
        <f>IF(J33="","",IF(J33&lt;2008,100%,LOOKUP(J33,$S$3:S$7,$T$3:$T$7)))</f>
      </c>
      <c r="O33" s="331">
        <f t="shared" si="4"/>
      </c>
      <c r="P33" s="224">
        <f t="shared" si="5"/>
      </c>
      <c r="Q33" s="246">
        <f t="shared" si="0"/>
      </c>
      <c r="R33" s="331">
        <f t="shared" si="6"/>
      </c>
      <c r="S33" s="389">
        <f t="shared" si="7"/>
      </c>
      <c r="T33" s="331">
        <f t="shared" si="8"/>
      </c>
      <c r="U33" s="385">
        <f>IF(Q33="","",IF(Q33&lt;2008,100%,LOOKUP(J33,$S$3:S$7,$T$3:$T$7)))</f>
      </c>
      <c r="V33" s="390">
        <f t="shared" si="9"/>
      </c>
      <c r="W33" s="224">
        <f t="shared" si="10"/>
      </c>
      <c r="X33" s="60">
        <v>18</v>
      </c>
    </row>
    <row r="34" spans="1:24" ht="12.75">
      <c r="A34" s="1" t="s">
        <v>149</v>
      </c>
      <c r="B34" s="282"/>
      <c r="C34" s="4"/>
      <c r="D34" s="4"/>
      <c r="E34" s="23"/>
      <c r="F34" s="4"/>
      <c r="G34" s="4"/>
      <c r="H34" s="4"/>
      <c r="I34" s="207"/>
      <c r="J34" s="77">
        <f t="shared" si="11"/>
      </c>
      <c r="K34" s="331">
        <f t="shared" si="1"/>
      </c>
      <c r="L34" s="331">
        <f t="shared" si="2"/>
      </c>
      <c r="M34" s="331">
        <f t="shared" si="3"/>
      </c>
      <c r="N34" s="385">
        <f>IF(J34="","",IF(J34&lt;2008,100%,LOOKUP(J34,$S$3:S$7,$T$3:$T$7)))</f>
      </c>
      <c r="O34" s="331">
        <f t="shared" si="4"/>
      </c>
      <c r="P34" s="224">
        <f t="shared" si="5"/>
      </c>
      <c r="Q34" s="246">
        <f t="shared" si="0"/>
      </c>
      <c r="R34" s="331">
        <f t="shared" si="6"/>
      </c>
      <c r="S34" s="389">
        <f t="shared" si="7"/>
      </c>
      <c r="T34" s="331">
        <f t="shared" si="8"/>
      </c>
      <c r="U34" s="385">
        <f>IF(Q34="","",IF(Q34&lt;2008,100%,LOOKUP(J34,$S$3:S$7,$T$3:$T$7)))</f>
      </c>
      <c r="V34" s="390">
        <f t="shared" si="9"/>
      </c>
      <c r="W34" s="224">
        <f t="shared" si="10"/>
      </c>
      <c r="X34" s="60">
        <v>19</v>
      </c>
    </row>
    <row r="35" spans="1:24" ht="12.75">
      <c r="A35" s="1"/>
      <c r="B35" s="4"/>
      <c r="C35" s="45" t="s">
        <v>142</v>
      </c>
      <c r="D35" s="4"/>
      <c r="E35" s="23"/>
      <c r="F35" s="4"/>
      <c r="G35" s="4"/>
      <c r="H35" s="4"/>
      <c r="I35" s="17"/>
      <c r="J35" s="77">
        <f t="shared" si="11"/>
      </c>
      <c r="K35" s="331">
        <f t="shared" si="1"/>
      </c>
      <c r="L35" s="331">
        <f t="shared" si="2"/>
      </c>
      <c r="M35" s="331">
        <f t="shared" si="3"/>
      </c>
      <c r="N35" s="385">
        <f>IF(J35="","",IF(J35&lt;2008,100%,LOOKUP(J35,$S$3:S$7,$T$3:$T$7)))</f>
      </c>
      <c r="O35" s="331">
        <f t="shared" si="4"/>
      </c>
      <c r="P35" s="224">
        <f t="shared" si="5"/>
      </c>
      <c r="Q35" s="246">
        <f t="shared" si="0"/>
      </c>
      <c r="R35" s="331">
        <f t="shared" si="6"/>
      </c>
      <c r="S35" s="389">
        <f t="shared" si="7"/>
      </c>
      <c r="T35" s="331">
        <f t="shared" si="8"/>
      </c>
      <c r="U35" s="385">
        <f>IF(Q35="","",IF(Q35&lt;2008,100%,LOOKUP(J35,$S$3:S$7,$T$3:$T$7)))</f>
      </c>
      <c r="V35" s="390">
        <f t="shared" si="9"/>
      </c>
      <c r="W35" s="224">
        <f t="shared" si="10"/>
      </c>
      <c r="X35" s="60">
        <v>20</v>
      </c>
    </row>
    <row r="36" spans="1:24" ht="12.75">
      <c r="A36" s="1"/>
      <c r="B36" s="17"/>
      <c r="C36" s="17"/>
      <c r="D36" s="17"/>
      <c r="E36" s="133" t="s">
        <v>143</v>
      </c>
      <c r="F36" s="4"/>
      <c r="G36" s="4"/>
      <c r="H36" s="4"/>
      <c r="I36" s="207"/>
      <c r="J36" s="77">
        <f t="shared" si="11"/>
      </c>
      <c r="K36" s="331">
        <f t="shared" si="1"/>
      </c>
      <c r="L36" s="331">
        <f t="shared" si="2"/>
      </c>
      <c r="M36" s="331">
        <f t="shared" si="3"/>
      </c>
      <c r="N36" s="385">
        <f>IF(J36="","",IF(J36&lt;2008,100%,LOOKUP(J36,$S$3:S$7,$T$3:$T$7)))</f>
      </c>
      <c r="O36" s="331">
        <f t="shared" si="4"/>
      </c>
      <c r="P36" s="224">
        <f t="shared" si="5"/>
      </c>
      <c r="Q36" s="246">
        <f t="shared" si="0"/>
      </c>
      <c r="R36" s="331">
        <f t="shared" si="6"/>
      </c>
      <c r="S36" s="389">
        <f t="shared" si="7"/>
      </c>
      <c r="T36" s="331">
        <f t="shared" si="8"/>
      </c>
      <c r="U36" s="385">
        <f>IF(Q36="","",IF(Q36&lt;2008,100%,LOOKUP(J36,$S$3:S$7,$T$3:$T$7)))</f>
      </c>
      <c r="V36" s="390">
        <f t="shared" si="9"/>
      </c>
      <c r="W36" s="224">
        <f t="shared" si="10"/>
      </c>
      <c r="X36" s="60">
        <v>21</v>
      </c>
    </row>
    <row r="37" spans="1:24" ht="12.75">
      <c r="A37" s="1"/>
      <c r="B37" s="1" t="s">
        <v>35</v>
      </c>
      <c r="C37" s="73"/>
      <c r="D37" s="201" t="s">
        <v>36</v>
      </c>
      <c r="E37" s="26" t="s">
        <v>144</v>
      </c>
      <c r="F37" s="4"/>
      <c r="G37" s="4"/>
      <c r="H37" s="4"/>
      <c r="I37" s="17"/>
      <c r="J37" s="77">
        <f t="shared" si="11"/>
      </c>
      <c r="K37" s="331">
        <f t="shared" si="1"/>
      </c>
      <c r="L37" s="331">
        <f t="shared" si="2"/>
      </c>
      <c r="M37" s="331">
        <f t="shared" si="3"/>
      </c>
      <c r="N37" s="385">
        <f>IF(J37="","",IF(J37&lt;2008,100%,LOOKUP(J37,$S$3:S$7,$T$3:$T$7)))</f>
      </c>
      <c r="O37" s="331">
        <f t="shared" si="4"/>
      </c>
      <c r="P37" s="224">
        <f t="shared" si="5"/>
      </c>
      <c r="Q37" s="246">
        <f t="shared" si="0"/>
      </c>
      <c r="R37" s="331">
        <f t="shared" si="6"/>
      </c>
      <c r="S37" s="389">
        <f t="shared" si="7"/>
      </c>
      <c r="T37" s="331">
        <f t="shared" si="8"/>
      </c>
      <c r="U37" s="385">
        <f>IF(Q37="","",IF(Q37&lt;2008,100%,LOOKUP(J37,$S$3:S$7,$T$3:$T$7)))</f>
      </c>
      <c r="V37" s="390">
        <f t="shared" si="9"/>
      </c>
      <c r="W37" s="224">
        <f t="shared" si="10"/>
      </c>
      <c r="X37" s="60">
        <v>22</v>
      </c>
    </row>
    <row r="38" spans="1:24" ht="12.75">
      <c r="A38" s="17"/>
      <c r="B38" s="1" t="s">
        <v>40</v>
      </c>
      <c r="C38" s="73"/>
      <c r="D38" s="202">
        <f>IF(C38="","",C38+65)</f>
      </c>
      <c r="E38" s="203">
        <f>IF(C37="","",D38-C37+1)</f>
      </c>
      <c r="F38" s="4"/>
      <c r="G38" s="4"/>
      <c r="H38" s="4"/>
      <c r="I38" s="207"/>
      <c r="J38" s="77">
        <f t="shared" si="11"/>
      </c>
      <c r="K38" s="331">
        <f t="shared" si="1"/>
      </c>
      <c r="L38" s="331">
        <f t="shared" si="2"/>
      </c>
      <c r="M38" s="331">
        <f t="shared" si="3"/>
      </c>
      <c r="N38" s="385">
        <f>IF(J38="","",IF(J38&lt;2008,100%,LOOKUP(J38,$S$3:S$7,$T$3:$T$7)))</f>
      </c>
      <c r="O38" s="331">
        <f t="shared" si="4"/>
      </c>
      <c r="P38" s="224">
        <f t="shared" si="5"/>
      </c>
      <c r="Q38" s="246">
        <f t="shared" si="0"/>
      </c>
      <c r="R38" s="331">
        <f t="shared" si="6"/>
      </c>
      <c r="S38" s="389">
        <f t="shared" si="7"/>
      </c>
      <c r="T38" s="331">
        <f t="shared" si="8"/>
      </c>
      <c r="U38" s="385">
        <f>IF(Q38="","",IF(Q38&lt;2008,100%,LOOKUP(J38,$S$3:S$7,$T$3:$T$7)))</f>
      </c>
      <c r="V38" s="390">
        <f t="shared" si="9"/>
      </c>
      <c r="W38" s="224">
        <f t="shared" si="10"/>
      </c>
      <c r="X38" s="60">
        <v>23</v>
      </c>
    </row>
    <row r="39" spans="1:24" ht="12.75">
      <c r="A39" s="1"/>
      <c r="B39" s="1" t="s">
        <v>145</v>
      </c>
      <c r="C39" s="73"/>
      <c r="D39" s="4"/>
      <c r="E39" s="23"/>
      <c r="F39" s="4"/>
      <c r="G39" s="4"/>
      <c r="H39" s="4"/>
      <c r="I39" s="17"/>
      <c r="J39" s="77">
        <f t="shared" si="11"/>
      </c>
      <c r="K39" s="331">
        <f t="shared" si="1"/>
      </c>
      <c r="L39" s="331">
        <f t="shared" si="2"/>
      </c>
      <c r="M39" s="331">
        <f t="shared" si="3"/>
      </c>
      <c r="N39" s="385">
        <f>IF(J39="","",IF(J39&lt;2008,100%,LOOKUP(J39,$S$3:S$7,$T$3:$T$7)))</f>
      </c>
      <c r="O39" s="331">
        <f t="shared" si="4"/>
      </c>
      <c r="P39" s="224">
        <f t="shared" si="5"/>
      </c>
      <c r="Q39" s="246">
        <f t="shared" si="0"/>
      </c>
      <c r="R39" s="331">
        <f t="shared" si="6"/>
      </c>
      <c r="S39" s="389">
        <f t="shared" si="7"/>
      </c>
      <c r="T39" s="331">
        <f t="shared" si="8"/>
      </c>
      <c r="U39" s="385">
        <f>IF(Q39="","",IF(Q39&lt;2008,100%,LOOKUP(J39,$S$3:S$7,$T$3:$T$7)))</f>
      </c>
      <c r="V39" s="390">
        <f t="shared" si="9"/>
      </c>
      <c r="W39" s="224">
        <f t="shared" si="10"/>
      </c>
      <c r="X39" s="60">
        <v>24</v>
      </c>
    </row>
    <row r="40" spans="1:24" ht="12.75">
      <c r="A40" s="1"/>
      <c r="B40" s="1"/>
      <c r="C40" s="59"/>
      <c r="D40" s="4"/>
      <c r="E40" s="23"/>
      <c r="F40" s="4"/>
      <c r="G40" s="4"/>
      <c r="H40" s="4"/>
      <c r="I40" s="207"/>
      <c r="J40" s="77">
        <f t="shared" si="11"/>
      </c>
      <c r="K40" s="331">
        <f t="shared" si="1"/>
      </c>
      <c r="L40" s="331">
        <f t="shared" si="2"/>
      </c>
      <c r="M40" s="331">
        <f t="shared" si="3"/>
      </c>
      <c r="N40" s="385">
        <f>IF(J40="","",IF(J40&lt;2008,100%,LOOKUP(J40,$S$3:S$7,$T$3:$T$7)))</f>
      </c>
      <c r="O40" s="331">
        <f t="shared" si="4"/>
      </c>
      <c r="P40" s="224">
        <f t="shared" si="5"/>
      </c>
      <c r="Q40" s="246">
        <f t="shared" si="0"/>
      </c>
      <c r="R40" s="331">
        <f t="shared" si="6"/>
      </c>
      <c r="S40" s="389">
        <f t="shared" si="7"/>
      </c>
      <c r="T40" s="331">
        <f t="shared" si="8"/>
      </c>
      <c r="U40" s="385">
        <f>IF(Q40="","",IF(Q40&lt;2008,100%,LOOKUP(J40,$S$3:S$7,$T$3:$T$7)))</f>
      </c>
      <c r="V40" s="390">
        <f t="shared" si="9"/>
      </c>
      <c r="W40" s="224">
        <f t="shared" si="10"/>
      </c>
      <c r="X40" s="60">
        <v>25</v>
      </c>
    </row>
    <row r="41" spans="1:24" ht="12.75">
      <c r="A41" s="1"/>
      <c r="B41" s="1" t="s">
        <v>94</v>
      </c>
      <c r="C41" s="33"/>
      <c r="D41" s="4"/>
      <c r="E41" s="17"/>
      <c r="F41" s="4"/>
      <c r="G41" s="4"/>
      <c r="H41" s="4"/>
      <c r="I41" s="17"/>
      <c r="J41" s="77">
        <f t="shared" si="11"/>
      </c>
      <c r="K41" s="331">
        <f t="shared" si="1"/>
      </c>
      <c r="L41" s="331">
        <f t="shared" si="2"/>
      </c>
      <c r="M41" s="331">
        <f t="shared" si="3"/>
      </c>
      <c r="N41" s="385">
        <f>IF(J41="","",IF(J41&lt;2008,100%,LOOKUP(J41,$S$3:S$7,$T$3:$T$7)))</f>
      </c>
      <c r="O41" s="331">
        <f t="shared" si="4"/>
      </c>
      <c r="P41" s="224">
        <f t="shared" si="5"/>
      </c>
      <c r="Q41" s="246">
        <f t="shared" si="0"/>
      </c>
      <c r="R41" s="331">
        <f t="shared" si="6"/>
      </c>
      <c r="S41" s="389">
        <f t="shared" si="7"/>
      </c>
      <c r="T41" s="331">
        <f t="shared" si="8"/>
      </c>
      <c r="U41" s="385">
        <f>IF(Q41="","",IF(Q41&lt;2008,100%,LOOKUP(J41,$S$3:S$7,$T$3:$T$7)))</f>
      </c>
      <c r="V41" s="390">
        <f t="shared" si="9"/>
      </c>
      <c r="W41" s="224">
        <f t="shared" si="10"/>
      </c>
      <c r="X41" s="60">
        <v>26</v>
      </c>
    </row>
    <row r="42" spans="1:24" ht="12.75">
      <c r="A42" s="1"/>
      <c r="B42" s="1" t="s">
        <v>155</v>
      </c>
      <c r="C42" s="33"/>
      <c r="D42" s="4"/>
      <c r="E42" s="17"/>
      <c r="F42" s="4"/>
      <c r="G42" s="4"/>
      <c r="H42" s="4"/>
      <c r="I42" s="207"/>
      <c r="J42" s="77">
        <f t="shared" si="11"/>
      </c>
      <c r="K42" s="331">
        <f t="shared" si="1"/>
      </c>
      <c r="L42" s="331">
        <f t="shared" si="2"/>
      </c>
      <c r="M42" s="331">
        <f t="shared" si="3"/>
      </c>
      <c r="N42" s="385">
        <f>IF(J42="","",IF(J42&lt;2008,100%,LOOKUP(J42,$S$3:S$7,$T$3:$T$7)))</f>
      </c>
      <c r="O42" s="331">
        <f t="shared" si="4"/>
      </c>
      <c r="P42" s="224">
        <f t="shared" si="5"/>
      </c>
      <c r="Q42" s="246">
        <f t="shared" si="0"/>
      </c>
      <c r="R42" s="331">
        <f t="shared" si="6"/>
      </c>
      <c r="S42" s="389">
        <f t="shared" si="7"/>
      </c>
      <c r="T42" s="331">
        <f t="shared" si="8"/>
      </c>
      <c r="U42" s="385">
        <f>IF(Q42="","",IF(Q42&lt;2008,100%,LOOKUP(J42,$S$3:S$7,$T$3:$T$7)))</f>
      </c>
      <c r="V42" s="390">
        <f t="shared" si="9"/>
      </c>
      <c r="W42" s="224">
        <f t="shared" si="10"/>
      </c>
      <c r="X42" s="60">
        <v>27</v>
      </c>
    </row>
    <row r="43" spans="1:24" ht="12.75">
      <c r="A43" s="1"/>
      <c r="B43" s="1"/>
      <c r="C43" s="23"/>
      <c r="D43" s="4"/>
      <c r="E43" s="17"/>
      <c r="F43" s="23"/>
      <c r="G43" s="4"/>
      <c r="H43" s="4"/>
      <c r="I43" s="17"/>
      <c r="J43" s="77">
        <f t="shared" si="11"/>
      </c>
      <c r="K43" s="331">
        <f t="shared" si="1"/>
      </c>
      <c r="L43" s="331">
        <f t="shared" si="2"/>
      </c>
      <c r="M43" s="331">
        <f t="shared" si="3"/>
      </c>
      <c r="N43" s="385">
        <f>IF(J43="","",IF(J43&lt;2008,100%,LOOKUP(J43,$S$3:S$7,$T$3:$T$7)))</f>
      </c>
      <c r="O43" s="331">
        <f t="shared" si="4"/>
      </c>
      <c r="P43" s="224">
        <f t="shared" si="5"/>
      </c>
      <c r="Q43" s="246">
        <f t="shared" si="0"/>
      </c>
      <c r="R43" s="331">
        <f t="shared" si="6"/>
      </c>
      <c r="S43" s="389">
        <f t="shared" si="7"/>
      </c>
      <c r="T43" s="331">
        <f t="shared" si="8"/>
      </c>
      <c r="U43" s="385">
        <f>IF(Q43="","",IF(Q43&lt;2008,100%,LOOKUP(J43,$S$3:S$7,$T$3:$T$7)))</f>
      </c>
      <c r="V43" s="390">
        <f t="shared" si="9"/>
      </c>
      <c r="W43" s="224">
        <f t="shared" si="10"/>
      </c>
      <c r="X43" s="60">
        <v>28</v>
      </c>
    </row>
    <row r="44" spans="1:24" ht="12.75">
      <c r="A44" s="17"/>
      <c r="B44" s="4"/>
      <c r="C44" s="4"/>
      <c r="D44" s="4"/>
      <c r="E44" s="301" t="s">
        <v>146</v>
      </c>
      <c r="F44" s="23"/>
      <c r="G44" s="4"/>
      <c r="H44" s="4"/>
      <c r="I44" s="207"/>
      <c r="J44" s="77">
        <f t="shared" si="11"/>
      </c>
      <c r="K44" s="331">
        <f t="shared" si="1"/>
      </c>
      <c r="L44" s="331">
        <f t="shared" si="2"/>
      </c>
      <c r="M44" s="331">
        <f t="shared" si="3"/>
      </c>
      <c r="N44" s="385">
        <f>IF(J44="","",IF(J44&lt;2008,100%,LOOKUP(J44,$S$3:S$7,$T$3:$T$7)))</f>
      </c>
      <c r="O44" s="331">
        <f t="shared" si="4"/>
      </c>
      <c r="P44" s="224">
        <f t="shared" si="5"/>
      </c>
      <c r="Q44" s="246">
        <f t="shared" si="0"/>
      </c>
      <c r="R44" s="331">
        <f t="shared" si="6"/>
      </c>
      <c r="S44" s="389">
        <f t="shared" si="7"/>
      </c>
      <c r="T44" s="331">
        <f t="shared" si="8"/>
      </c>
      <c r="U44" s="385">
        <f>IF(Q44="","",IF(Q44&lt;2008,100%,LOOKUP(J44,$S$3:S$7,$T$3:$T$7)))</f>
      </c>
      <c r="V44" s="390">
        <f t="shared" si="9"/>
      </c>
      <c r="W44" s="224">
        <f t="shared" si="10"/>
      </c>
      <c r="X44" s="60">
        <v>29</v>
      </c>
    </row>
    <row r="45" spans="1:24" ht="12.75">
      <c r="A45" s="1"/>
      <c r="B45" s="4"/>
      <c r="C45" s="4"/>
      <c r="D45" s="43"/>
      <c r="E45" s="23"/>
      <c r="F45" s="23"/>
      <c r="G45" s="4"/>
      <c r="H45" s="4"/>
      <c r="I45" s="17"/>
      <c r="J45" s="78">
        <f t="shared" si="11"/>
      </c>
      <c r="K45" s="212">
        <f t="shared" si="1"/>
      </c>
      <c r="L45" s="212">
        <f t="shared" si="2"/>
      </c>
      <c r="M45" s="212">
        <f t="shared" si="3"/>
      </c>
      <c r="N45" s="387">
        <f>IF(J45="","",IF(J45&lt;2008,100%,LOOKUP(J45,$S$3:S$7,$T$3:$T$7)))</f>
      </c>
      <c r="O45" s="212">
        <f t="shared" si="4"/>
      </c>
      <c r="P45" s="229">
        <f t="shared" si="5"/>
      </c>
      <c r="Q45" s="249">
        <f t="shared" si="0"/>
      </c>
      <c r="R45" s="212">
        <f t="shared" si="6"/>
      </c>
      <c r="S45" s="248">
        <f t="shared" si="7"/>
      </c>
      <c r="T45" s="212">
        <f t="shared" si="8"/>
      </c>
      <c r="U45" s="387">
        <f>IF(Q45="","",IF(Q45&lt;2008,100%,LOOKUP(J45,$S$3:S$7,$T$3:$T$7)))</f>
      </c>
      <c r="V45" s="247">
        <f t="shared" si="9"/>
      </c>
      <c r="W45" s="229">
        <f t="shared" si="10"/>
      </c>
      <c r="X45" s="60">
        <v>30</v>
      </c>
    </row>
    <row r="46" spans="1:24" ht="12.75">
      <c r="A46" s="1"/>
      <c r="B46" s="4"/>
      <c r="C46" s="4"/>
      <c r="D46" s="23" t="s">
        <v>52</v>
      </c>
      <c r="E46" s="16">
        <f>SUM(M56)</f>
        <v>0</v>
      </c>
      <c r="F46" s="46"/>
      <c r="G46" s="4"/>
      <c r="H46" s="4"/>
      <c r="I46" s="60"/>
      <c r="J46" s="78"/>
      <c r="K46" s="383"/>
      <c r="L46" s="228"/>
      <c r="M46" s="212"/>
      <c r="N46" s="228"/>
      <c r="O46" s="212"/>
      <c r="P46" s="384">
        <f>SUM(P16:P45)</f>
        <v>0</v>
      </c>
      <c r="Q46" s="264"/>
      <c r="R46" s="212"/>
      <c r="S46" s="228"/>
      <c r="T46" s="212"/>
      <c r="U46" s="228"/>
      <c r="V46" s="212"/>
      <c r="W46" s="388">
        <f>SUM(W16:W45)</f>
        <v>0</v>
      </c>
      <c r="X46" s="46"/>
    </row>
    <row r="47" spans="1:24" ht="12.75">
      <c r="A47" s="1"/>
      <c r="B47" s="4"/>
      <c r="C47" s="4"/>
      <c r="D47" s="23" t="s">
        <v>47</v>
      </c>
      <c r="E47" s="16">
        <f>SUM(M62)</f>
        <v>0</v>
      </c>
      <c r="F47" s="282"/>
      <c r="G47" s="4"/>
      <c r="H47" s="4"/>
      <c r="I47" s="250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2.75">
      <c r="A48" s="1" t="s">
        <v>123</v>
      </c>
      <c r="B48" s="17"/>
      <c r="C48" s="44"/>
      <c r="D48" s="4"/>
      <c r="E48" s="74"/>
      <c r="F48" s="4"/>
      <c r="G48" s="4"/>
      <c r="H48" s="4"/>
      <c r="I48" s="46"/>
      <c r="J48" s="17"/>
      <c r="K48" s="291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16" ht="13.5" thickBot="1">
      <c r="A49" s="1"/>
      <c r="B49" s="17"/>
      <c r="C49" s="17"/>
      <c r="D49" s="17"/>
      <c r="E49" s="17"/>
      <c r="F49" s="282"/>
      <c r="G49" s="291"/>
      <c r="H49" s="291"/>
      <c r="I49" s="45" t="s">
        <v>148</v>
      </c>
      <c r="J49" s="80"/>
      <c r="K49" s="4"/>
      <c r="L49" s="4"/>
      <c r="M49" s="4"/>
      <c r="N49" s="4"/>
      <c r="O49" s="5"/>
      <c r="P49" s="5"/>
    </row>
    <row r="50" spans="1:14" ht="13.5" thickBot="1">
      <c r="A50" s="1"/>
      <c r="B50" s="45" t="s">
        <v>147</v>
      </c>
      <c r="C50" s="23"/>
      <c r="D50" s="24"/>
      <c r="E50" s="25">
        <f>SUM(E46-E47-E48)</f>
        <v>0</v>
      </c>
      <c r="F50" s="4"/>
      <c r="G50" s="80"/>
      <c r="H50" s="80"/>
      <c r="I50" s="4" t="s">
        <v>37</v>
      </c>
      <c r="J50" s="296">
        <f>SUM(E3)</f>
        <v>0</v>
      </c>
      <c r="K50" s="296" t="s">
        <v>38</v>
      </c>
      <c r="L50" s="4"/>
      <c r="M50" s="291"/>
      <c r="N50" s="17"/>
    </row>
    <row r="51" spans="1:14" ht="12.75">
      <c r="A51" s="1"/>
      <c r="B51" s="1"/>
      <c r="C51" s="43"/>
      <c r="D51" s="24"/>
      <c r="E51" s="44"/>
      <c r="F51" s="4"/>
      <c r="G51" s="4"/>
      <c r="H51" s="4"/>
      <c r="I51" s="4" t="s">
        <v>101</v>
      </c>
      <c r="J51" s="299">
        <f>SUM(E4)</f>
        <v>0</v>
      </c>
      <c r="K51" s="299">
        <f>SUM(J51*7.5)</f>
        <v>0</v>
      </c>
      <c r="L51" s="4"/>
      <c r="M51" s="17"/>
      <c r="N51" s="17"/>
    </row>
    <row r="52" spans="1:14" ht="12.75">
      <c r="A52" s="50"/>
      <c r="B52" s="1"/>
      <c r="C52" s="23"/>
      <c r="D52" s="24"/>
      <c r="E52" s="23"/>
      <c r="F52" s="4"/>
      <c r="G52" s="4"/>
      <c r="H52" s="4"/>
      <c r="I52" s="4"/>
      <c r="J52" s="4"/>
      <c r="K52" s="96" t="s">
        <v>66</v>
      </c>
      <c r="L52" s="96" t="s">
        <v>67</v>
      </c>
      <c r="M52" s="17"/>
      <c r="N52" s="17"/>
    </row>
    <row r="53" spans="1:14" ht="12.75">
      <c r="A53" s="1"/>
      <c r="B53" s="1"/>
      <c r="C53" s="1"/>
      <c r="D53" s="1"/>
      <c r="E53" s="1"/>
      <c r="F53" s="4"/>
      <c r="G53" s="4"/>
      <c r="H53" s="4"/>
      <c r="I53" s="81" t="s">
        <v>52</v>
      </c>
      <c r="J53" s="298">
        <f>SUM(C41)</f>
        <v>0</v>
      </c>
      <c r="K53" s="23">
        <f>IF(J53&lt;K51,J53,K51)</f>
        <v>0</v>
      </c>
      <c r="L53" s="23">
        <f>MAX(J53-K51,0)</f>
        <v>0</v>
      </c>
      <c r="M53" s="17"/>
      <c r="N53" s="17"/>
    </row>
    <row r="54" spans="1:14" ht="12.75">
      <c r="A54" s="1" t="s">
        <v>149</v>
      </c>
      <c r="B54" s="321" t="s">
        <v>157</v>
      </c>
      <c r="C54" s="320">
        <f ca="1">TODAY()</f>
        <v>45365</v>
      </c>
      <c r="D54" s="1"/>
      <c r="E54" s="1"/>
      <c r="F54" s="4"/>
      <c r="G54" s="378" t="s">
        <v>172</v>
      </c>
      <c r="H54" s="46"/>
      <c r="I54" s="4"/>
      <c r="J54" s="43">
        <v>0.13</v>
      </c>
      <c r="K54" s="23">
        <f>SUM(K53*J54)</f>
        <v>0</v>
      </c>
      <c r="L54" s="4"/>
      <c r="M54" s="17"/>
      <c r="N54" s="17"/>
    </row>
    <row r="55" spans="1:16" ht="13.5" thickBot="1">
      <c r="A55" s="17"/>
      <c r="B55" s="17"/>
      <c r="C55" s="17"/>
      <c r="D55" s="17"/>
      <c r="E55" s="17"/>
      <c r="F55" s="4"/>
      <c r="G55" s="46"/>
      <c r="H55" s="46"/>
      <c r="I55" s="4"/>
      <c r="J55" s="43">
        <v>0.68</v>
      </c>
      <c r="K55" s="4"/>
      <c r="L55" s="23">
        <f>SUM(L53*J55)</f>
        <v>0</v>
      </c>
      <c r="M55" s="4"/>
      <c r="N55" s="4"/>
      <c r="O55" s="5"/>
      <c r="P55" s="5"/>
    </row>
    <row r="56" spans="6:16" ht="13.5" thickBot="1">
      <c r="F56" s="5"/>
      <c r="G56" s="276"/>
      <c r="H56" s="46"/>
      <c r="I56" s="4" t="s">
        <v>151</v>
      </c>
      <c r="J56" s="296">
        <f>SUM(C39)</f>
        <v>0</v>
      </c>
      <c r="K56" s="16">
        <f>SUM(K54*C39/30)</f>
        <v>0</v>
      </c>
      <c r="L56" s="16">
        <f>SUM(L55*J56/30)</f>
        <v>0</v>
      </c>
      <c r="M56" s="297">
        <f>SUM(K56:L56)</f>
        <v>0</v>
      </c>
      <c r="N56" s="4"/>
      <c r="O56" s="5"/>
      <c r="P56" s="5"/>
    </row>
    <row r="57" spans="6:16" ht="12.75">
      <c r="F57" s="5"/>
      <c r="G57" s="5"/>
      <c r="H57" s="4"/>
      <c r="I57" s="4"/>
      <c r="J57" s="4"/>
      <c r="K57" s="4"/>
      <c r="L57" s="4"/>
      <c r="M57" s="4"/>
      <c r="N57" s="4"/>
      <c r="O57" s="5"/>
      <c r="P57" s="5"/>
    </row>
    <row r="58" spans="6:14" ht="12.75">
      <c r="F58" s="5"/>
      <c r="G58" s="37"/>
      <c r="H58" s="29"/>
      <c r="I58" s="17"/>
      <c r="J58" s="17"/>
      <c r="K58" s="296" t="s">
        <v>66</v>
      </c>
      <c r="L58" s="296" t="s">
        <v>67</v>
      </c>
      <c r="M58" s="294"/>
      <c r="N58" s="294"/>
    </row>
    <row r="59" spans="6:14" ht="12.75">
      <c r="F59" s="5"/>
      <c r="G59" s="5"/>
      <c r="H59" s="4"/>
      <c r="I59" s="81" t="s">
        <v>47</v>
      </c>
      <c r="J59" s="298">
        <f>SUM(C42)</f>
        <v>0</v>
      </c>
      <c r="K59" s="23">
        <f>IF(J59&lt;K51,J59,K51)</f>
        <v>0</v>
      </c>
      <c r="L59" s="23">
        <f>SUM(J59-K59)</f>
        <v>0</v>
      </c>
      <c r="M59" s="294"/>
      <c r="N59" s="294"/>
    </row>
    <row r="60" spans="6:15" ht="12.75">
      <c r="F60" s="5"/>
      <c r="G60" s="5"/>
      <c r="H60" s="4"/>
      <c r="I60" s="4"/>
      <c r="J60" s="43">
        <v>0.13</v>
      </c>
      <c r="K60" s="23">
        <f>SUM(K59*13%)</f>
        <v>0</v>
      </c>
      <c r="L60" s="4"/>
      <c r="M60" s="294"/>
      <c r="N60" s="294"/>
      <c r="O60" s="323"/>
    </row>
    <row r="61" spans="6:14" ht="13.5" thickBot="1">
      <c r="F61" s="5"/>
      <c r="G61" s="5"/>
      <c r="H61" s="4"/>
      <c r="I61" s="4"/>
      <c r="J61" s="43">
        <v>0.68</v>
      </c>
      <c r="K61" s="4"/>
      <c r="L61" s="23">
        <f>SUM(L59*68%)</f>
        <v>0</v>
      </c>
      <c r="M61" s="294"/>
      <c r="N61" s="17"/>
    </row>
    <row r="62" spans="6:14" ht="13.5" thickBot="1">
      <c r="F62" s="5"/>
      <c r="G62" s="5"/>
      <c r="H62" s="4"/>
      <c r="I62" s="17" t="s">
        <v>158</v>
      </c>
      <c r="J62" s="296">
        <f>SUM(C39)</f>
        <v>0</v>
      </c>
      <c r="K62" s="16">
        <f>SUM(K60*J62/30)</f>
        <v>0</v>
      </c>
      <c r="L62" s="16">
        <f>SUM(L61*J62/30)</f>
        <v>0</v>
      </c>
      <c r="M62" s="297">
        <f>SUM(K62:L62)</f>
        <v>0</v>
      </c>
      <c r="N62" s="17"/>
    </row>
    <row r="63" spans="9:14" ht="12.75">
      <c r="I63" s="17"/>
      <c r="J63" s="17"/>
      <c r="K63" s="17"/>
      <c r="L63" s="17"/>
      <c r="M63" s="17"/>
      <c r="N63" s="17"/>
    </row>
  </sheetData>
  <sheetProtection password="C248" sheet="1"/>
  <mergeCells count="1">
    <mergeCell ref="S2:T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57421875" style="0" customWidth="1"/>
    <col min="2" max="2" width="10.28125" style="0" customWidth="1"/>
    <col min="4" max="4" width="9.421875" style="0" customWidth="1"/>
    <col min="5" max="5" width="12.28125" style="0" customWidth="1"/>
    <col min="6" max="6" width="10.57421875" style="0" customWidth="1"/>
    <col min="7" max="7" width="13.421875" style="0" customWidth="1"/>
    <col min="8" max="8" width="9.421875" style="0" bestFit="1" customWidth="1"/>
    <col min="9" max="9" width="9.57421875" style="0" bestFit="1" customWidth="1"/>
  </cols>
  <sheetData>
    <row r="1" spans="1:3" ht="12.75">
      <c r="A1" s="19"/>
      <c r="B1" s="39" t="s">
        <v>159</v>
      </c>
      <c r="C1" t="s">
        <v>160</v>
      </c>
    </row>
    <row r="2" spans="1:9" ht="12.75">
      <c r="A2" s="20" t="s">
        <v>161</v>
      </c>
      <c r="B2" s="40" t="s">
        <v>162</v>
      </c>
      <c r="C2" t="s">
        <v>162</v>
      </c>
      <c r="G2" s="34"/>
      <c r="H2" s="34"/>
      <c r="I2" s="34"/>
    </row>
    <row r="3" spans="1:6" ht="12.75">
      <c r="A3" s="17"/>
      <c r="B3" s="41"/>
      <c r="D3" s="104"/>
      <c r="F3" s="35"/>
    </row>
    <row r="4" spans="1:9" ht="12.75">
      <c r="A4" s="18">
        <v>1988</v>
      </c>
      <c r="B4" s="41"/>
      <c r="D4" s="104"/>
      <c r="F4" s="36"/>
      <c r="G4" s="37"/>
      <c r="H4" s="37"/>
      <c r="I4" s="37"/>
    </row>
    <row r="5" spans="1:9" ht="12.75">
      <c r="A5" s="18">
        <v>1989</v>
      </c>
      <c r="B5" s="41"/>
      <c r="D5" s="104"/>
      <c r="F5" s="36"/>
      <c r="G5" s="37"/>
      <c r="H5" s="37"/>
      <c r="I5" s="37"/>
    </row>
    <row r="6" spans="1:4" ht="12.75">
      <c r="A6" s="18">
        <v>1990</v>
      </c>
      <c r="B6" s="41"/>
      <c r="D6" s="104"/>
    </row>
    <row r="7" spans="1:9" ht="12.75">
      <c r="A7" s="18">
        <v>1991</v>
      </c>
      <c r="B7" s="41"/>
      <c r="D7" s="104"/>
      <c r="G7" s="37"/>
      <c r="H7" s="37"/>
      <c r="I7" s="37"/>
    </row>
    <row r="8" spans="1:9" ht="12.75">
      <c r="A8" s="18">
        <v>1992</v>
      </c>
      <c r="B8" s="41"/>
      <c r="G8" s="36"/>
      <c r="H8" s="36"/>
      <c r="I8" s="36"/>
    </row>
    <row r="9" spans="1:9" ht="12.75">
      <c r="A9" s="18">
        <v>1993</v>
      </c>
      <c r="B9" s="41"/>
      <c r="G9" s="36"/>
      <c r="H9" s="36"/>
      <c r="I9" s="36"/>
    </row>
    <row r="10" spans="1:6" ht="12.75">
      <c r="A10" s="18">
        <v>1994</v>
      </c>
      <c r="B10" s="41"/>
      <c r="D10" t="s">
        <v>163</v>
      </c>
      <c r="F10" s="101">
        <v>45365</v>
      </c>
    </row>
    <row r="11" spans="1:6" ht="12.75">
      <c r="A11" s="18">
        <v>1995</v>
      </c>
      <c r="B11" s="41"/>
      <c r="D11" s="38"/>
      <c r="F11" s="379" t="s">
        <v>172</v>
      </c>
    </row>
    <row r="12" spans="1:4" ht="12.75">
      <c r="A12" s="18">
        <v>1996</v>
      </c>
      <c r="B12" s="41"/>
      <c r="D12" s="38"/>
    </row>
    <row r="13" spans="1:4" ht="12.75">
      <c r="A13" s="18">
        <v>1997</v>
      </c>
      <c r="B13" s="41"/>
      <c r="D13" s="38"/>
    </row>
    <row r="14" spans="1:2" ht="12.75">
      <c r="A14" s="18">
        <v>1998</v>
      </c>
      <c r="B14" s="41"/>
    </row>
    <row r="15" spans="1:2" ht="12.75">
      <c r="A15" s="18">
        <v>1999</v>
      </c>
      <c r="B15" s="41"/>
    </row>
    <row r="16" spans="1:2" ht="12.75">
      <c r="A16" s="18">
        <v>2000</v>
      </c>
      <c r="B16" s="41"/>
    </row>
    <row r="17" spans="1:2" ht="12.75">
      <c r="A17" s="18">
        <v>2001</v>
      </c>
      <c r="B17" s="41"/>
    </row>
    <row r="18" spans="1:3" ht="12.75">
      <c r="A18" s="18">
        <v>2002</v>
      </c>
      <c r="B18" s="42">
        <v>38800</v>
      </c>
      <c r="C18" s="36">
        <f>SUM(B18*7.5)</f>
        <v>291000</v>
      </c>
    </row>
    <row r="19" spans="1:3" ht="12.75">
      <c r="A19" s="18">
        <v>2003</v>
      </c>
      <c r="B19" s="42">
        <v>40900</v>
      </c>
      <c r="C19" s="36">
        <f aca="true" t="shared" si="0" ref="C19:C66">SUM(B19*7.5)</f>
        <v>306750</v>
      </c>
    </row>
    <row r="20" spans="1:3" ht="12.75">
      <c r="A20" s="18">
        <v>2004</v>
      </c>
      <c r="B20" s="42">
        <v>42300</v>
      </c>
      <c r="C20" s="36">
        <f t="shared" si="0"/>
        <v>317250</v>
      </c>
    </row>
    <row r="21" spans="1:3" ht="12.75">
      <c r="A21" s="18">
        <v>2005</v>
      </c>
      <c r="B21" s="42">
        <v>43300</v>
      </c>
      <c r="C21" s="36">
        <f t="shared" si="0"/>
        <v>324750</v>
      </c>
    </row>
    <row r="22" spans="1:3" ht="12.75">
      <c r="A22" s="18">
        <v>2006</v>
      </c>
      <c r="B22" s="42">
        <v>44500</v>
      </c>
      <c r="C22" s="36">
        <f t="shared" si="0"/>
        <v>333750</v>
      </c>
    </row>
    <row r="23" spans="1:3" ht="12.75">
      <c r="A23" s="18">
        <v>2007</v>
      </c>
      <c r="B23" s="42">
        <v>45900</v>
      </c>
      <c r="C23" s="36">
        <f t="shared" si="0"/>
        <v>344250</v>
      </c>
    </row>
    <row r="24" spans="1:3" ht="12.75">
      <c r="A24" s="18">
        <v>2008</v>
      </c>
      <c r="B24" s="42">
        <v>48000</v>
      </c>
      <c r="C24" s="36">
        <f t="shared" si="0"/>
        <v>360000</v>
      </c>
    </row>
    <row r="25" spans="1:3" ht="12.75">
      <c r="A25" s="18">
        <v>2009</v>
      </c>
      <c r="B25" s="42">
        <v>50900</v>
      </c>
      <c r="C25" s="36">
        <f t="shared" si="0"/>
        <v>381750</v>
      </c>
    </row>
    <row r="26" spans="1:3" ht="12.75">
      <c r="A26" s="18">
        <v>2010</v>
      </c>
      <c r="B26" s="42">
        <v>51100</v>
      </c>
      <c r="C26" s="36">
        <f t="shared" si="0"/>
        <v>383250</v>
      </c>
    </row>
    <row r="27" spans="1:3" ht="12.75">
      <c r="A27" s="18">
        <v>2011</v>
      </c>
      <c r="B27" s="42">
        <v>52100</v>
      </c>
      <c r="C27" s="36">
        <f t="shared" si="0"/>
        <v>390750</v>
      </c>
    </row>
    <row r="28" spans="1:3" ht="12.75">
      <c r="A28" s="18">
        <v>2012</v>
      </c>
      <c r="B28" s="42">
        <v>54600</v>
      </c>
      <c r="C28" s="36">
        <f t="shared" si="0"/>
        <v>409500</v>
      </c>
    </row>
    <row r="29" spans="1:4" ht="12.75">
      <c r="A29" s="18">
        <v>2013</v>
      </c>
      <c r="B29" s="42">
        <v>56600</v>
      </c>
      <c r="C29" s="36">
        <f t="shared" si="0"/>
        <v>424500</v>
      </c>
      <c r="D29" s="66"/>
    </row>
    <row r="30" spans="1:4" ht="12.75">
      <c r="A30" s="18">
        <v>2014</v>
      </c>
      <c r="B30" s="42">
        <v>56900</v>
      </c>
      <c r="C30" s="36">
        <f t="shared" si="0"/>
        <v>426750</v>
      </c>
      <c r="D30" s="66"/>
    </row>
    <row r="31" spans="1:3" ht="12.75">
      <c r="A31" s="18">
        <v>2015</v>
      </c>
      <c r="B31" s="42">
        <v>58100</v>
      </c>
      <c r="C31" s="36">
        <f t="shared" si="0"/>
        <v>435750</v>
      </c>
    </row>
    <row r="32" spans="1:3" ht="12.75">
      <c r="A32" s="18">
        <v>2016</v>
      </c>
      <c r="B32" s="42">
        <v>59300</v>
      </c>
      <c r="C32" s="36">
        <f t="shared" si="0"/>
        <v>444750</v>
      </c>
    </row>
    <row r="33" spans="1:3" ht="12.75">
      <c r="A33" s="18">
        <v>2017</v>
      </c>
      <c r="B33" s="42">
        <v>61500</v>
      </c>
      <c r="C33" s="36">
        <f t="shared" si="0"/>
        <v>461250</v>
      </c>
    </row>
    <row r="34" spans="1:3" ht="12.75">
      <c r="A34" s="18">
        <v>2018</v>
      </c>
      <c r="B34" s="42">
        <v>62500</v>
      </c>
      <c r="C34" s="36">
        <f t="shared" si="0"/>
        <v>468750</v>
      </c>
    </row>
    <row r="35" spans="1:3" ht="12.75">
      <c r="A35" s="18">
        <v>2019</v>
      </c>
      <c r="B35" s="42">
        <v>64400</v>
      </c>
      <c r="C35" s="36">
        <f t="shared" si="0"/>
        <v>483000</v>
      </c>
    </row>
    <row r="36" spans="1:3" ht="12.75">
      <c r="A36" s="18">
        <v>2020</v>
      </c>
      <c r="B36" s="42">
        <v>66800</v>
      </c>
      <c r="C36" s="36">
        <f t="shared" si="0"/>
        <v>501000</v>
      </c>
    </row>
    <row r="37" spans="1:3" ht="12.75">
      <c r="A37" s="18">
        <v>2021</v>
      </c>
      <c r="B37" s="42">
        <v>68200</v>
      </c>
      <c r="C37" s="36">
        <f t="shared" si="0"/>
        <v>511500</v>
      </c>
    </row>
    <row r="38" spans="1:3" ht="12.75">
      <c r="A38" s="18">
        <v>2022</v>
      </c>
      <c r="B38" s="42">
        <v>71000</v>
      </c>
      <c r="C38" s="36">
        <f t="shared" si="0"/>
        <v>532500</v>
      </c>
    </row>
    <row r="39" spans="1:3" ht="12.75">
      <c r="A39" s="18">
        <v>2023</v>
      </c>
      <c r="B39" s="52">
        <v>74300</v>
      </c>
      <c r="C39" s="36">
        <f t="shared" si="0"/>
        <v>557250</v>
      </c>
    </row>
    <row r="40" spans="1:3" ht="12.75">
      <c r="A40" s="18">
        <v>2024</v>
      </c>
      <c r="B40" s="52">
        <v>76200</v>
      </c>
      <c r="C40" s="36">
        <f t="shared" si="0"/>
        <v>571500</v>
      </c>
    </row>
    <row r="41" spans="1:3" ht="12.75">
      <c r="A41" s="18">
        <v>2025</v>
      </c>
      <c r="B41" s="52"/>
      <c r="C41" s="36">
        <f t="shared" si="0"/>
        <v>0</v>
      </c>
    </row>
    <row r="42" spans="1:3" ht="12.75">
      <c r="A42" s="18">
        <v>2026</v>
      </c>
      <c r="B42" s="52"/>
      <c r="C42" s="36">
        <f t="shared" si="0"/>
        <v>0</v>
      </c>
    </row>
    <row r="43" spans="1:3" ht="12.75">
      <c r="A43" s="18">
        <v>2027</v>
      </c>
      <c r="B43" s="52"/>
      <c r="C43" s="36">
        <f t="shared" si="0"/>
        <v>0</v>
      </c>
    </row>
    <row r="44" spans="1:3" ht="12.75">
      <c r="A44" s="18">
        <v>2028</v>
      </c>
      <c r="B44" s="52"/>
      <c r="C44" s="36">
        <f t="shared" si="0"/>
        <v>0</v>
      </c>
    </row>
    <row r="45" spans="1:3" ht="12.75">
      <c r="A45" s="18">
        <v>2029</v>
      </c>
      <c r="B45" s="52"/>
      <c r="C45" s="36">
        <f t="shared" si="0"/>
        <v>0</v>
      </c>
    </row>
    <row r="46" spans="1:3" ht="12.75">
      <c r="A46" s="18">
        <v>2030</v>
      </c>
      <c r="B46" s="52"/>
      <c r="C46" s="36">
        <f t="shared" si="0"/>
        <v>0</v>
      </c>
    </row>
    <row r="47" spans="1:3" ht="12.75">
      <c r="A47" s="18">
        <v>2031</v>
      </c>
      <c r="B47" s="52"/>
      <c r="C47" s="36">
        <f t="shared" si="0"/>
        <v>0</v>
      </c>
    </row>
    <row r="48" spans="1:3" ht="12.75">
      <c r="A48" s="18">
        <v>2032</v>
      </c>
      <c r="B48" s="52"/>
      <c r="C48" s="36">
        <f t="shared" si="0"/>
        <v>0</v>
      </c>
    </row>
    <row r="49" spans="1:3" ht="12.75">
      <c r="A49" s="18">
        <v>2033</v>
      </c>
      <c r="B49" s="52"/>
      <c r="C49" s="36">
        <f t="shared" si="0"/>
        <v>0</v>
      </c>
    </row>
    <row r="50" spans="1:3" ht="12.75">
      <c r="A50" s="18">
        <v>2034</v>
      </c>
      <c r="B50" s="52"/>
      <c r="C50" s="36">
        <f t="shared" si="0"/>
        <v>0</v>
      </c>
    </row>
    <row r="51" spans="1:3" ht="12.75">
      <c r="A51" s="18">
        <v>2035</v>
      </c>
      <c r="B51" s="52"/>
      <c r="C51" s="36">
        <f t="shared" si="0"/>
        <v>0</v>
      </c>
    </row>
    <row r="52" spans="1:3" ht="12.75">
      <c r="A52" s="18">
        <v>2036</v>
      </c>
      <c r="B52" s="52"/>
      <c r="C52" s="36">
        <f t="shared" si="0"/>
        <v>0</v>
      </c>
    </row>
    <row r="53" spans="1:3" ht="12.75">
      <c r="A53" s="18">
        <v>2037</v>
      </c>
      <c r="B53" s="52"/>
      <c r="C53" s="36">
        <f t="shared" si="0"/>
        <v>0</v>
      </c>
    </row>
    <row r="54" spans="1:3" ht="12.75">
      <c r="A54" s="18">
        <v>2038</v>
      </c>
      <c r="B54" s="52"/>
      <c r="C54" s="36">
        <f t="shared" si="0"/>
        <v>0</v>
      </c>
    </row>
    <row r="55" spans="1:3" ht="12.75">
      <c r="A55" s="18">
        <v>2039</v>
      </c>
      <c r="B55" s="52"/>
      <c r="C55" s="36">
        <f t="shared" si="0"/>
        <v>0</v>
      </c>
    </row>
    <row r="56" spans="1:3" ht="12.75">
      <c r="A56" s="18">
        <v>2040</v>
      </c>
      <c r="B56" s="52"/>
      <c r="C56" s="36">
        <f t="shared" si="0"/>
        <v>0</v>
      </c>
    </row>
    <row r="57" spans="1:3" ht="12.75">
      <c r="A57" s="18">
        <v>2041</v>
      </c>
      <c r="B57" s="52"/>
      <c r="C57" s="36">
        <f t="shared" si="0"/>
        <v>0</v>
      </c>
    </row>
    <row r="58" spans="1:3" ht="12.75">
      <c r="A58" s="18">
        <v>2042</v>
      </c>
      <c r="B58" s="52"/>
      <c r="C58" s="36">
        <f t="shared" si="0"/>
        <v>0</v>
      </c>
    </row>
    <row r="59" spans="1:3" ht="12.75">
      <c r="A59" s="18">
        <v>2043</v>
      </c>
      <c r="B59" s="52"/>
      <c r="C59" s="36">
        <f t="shared" si="0"/>
        <v>0</v>
      </c>
    </row>
    <row r="60" spans="1:3" ht="12.75">
      <c r="A60" s="18">
        <v>2044</v>
      </c>
      <c r="B60" s="52"/>
      <c r="C60" s="36">
        <f t="shared" si="0"/>
        <v>0</v>
      </c>
    </row>
    <row r="61" spans="1:3" ht="12.75">
      <c r="A61" s="18">
        <v>2045</v>
      </c>
      <c r="B61" s="52"/>
      <c r="C61" s="36">
        <f t="shared" si="0"/>
        <v>0</v>
      </c>
    </row>
    <row r="62" spans="1:3" ht="12.75">
      <c r="A62" s="18">
        <v>2046</v>
      </c>
      <c r="B62" s="52"/>
      <c r="C62" s="36">
        <f t="shared" si="0"/>
        <v>0</v>
      </c>
    </row>
    <row r="63" spans="1:3" ht="12.75">
      <c r="A63" s="18">
        <v>2047</v>
      </c>
      <c r="B63" s="52"/>
      <c r="C63" s="36">
        <f t="shared" si="0"/>
        <v>0</v>
      </c>
    </row>
    <row r="64" spans="1:3" ht="12.75">
      <c r="A64" s="18">
        <v>2048</v>
      </c>
      <c r="B64" s="52"/>
      <c r="C64" s="36">
        <f t="shared" si="0"/>
        <v>0</v>
      </c>
    </row>
    <row r="65" spans="1:3" ht="12.75">
      <c r="A65" s="18">
        <v>2049</v>
      </c>
      <c r="B65" s="52"/>
      <c r="C65" s="36">
        <f t="shared" si="0"/>
        <v>0</v>
      </c>
    </row>
    <row r="66" spans="1:3" ht="12.75">
      <c r="A66" s="18">
        <v>2050</v>
      </c>
      <c r="B66" s="52"/>
      <c r="C66" s="36">
        <f t="shared" si="0"/>
        <v>0</v>
      </c>
    </row>
    <row r="67" ht="12.75">
      <c r="B67" t="s">
        <v>164</v>
      </c>
    </row>
    <row r="68" ht="12.75">
      <c r="B68" t="s">
        <v>65</v>
      </c>
    </row>
  </sheetData>
  <sheetProtection password="C248" sheet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Trafikskadenämnden 2024</dc:creator>
  <cp:keywords/>
  <dc:description/>
  <cp:lastModifiedBy>Bexar, Pia</cp:lastModifiedBy>
  <cp:lastPrinted>2023-10-16T09:40:53Z</cp:lastPrinted>
  <dcterms:created xsi:type="dcterms:W3CDTF">2004-02-07T20:10:56Z</dcterms:created>
  <dcterms:modified xsi:type="dcterms:W3CDTF">2024-03-14T13:52:42Z</dcterms:modified>
  <cp:category/>
  <cp:version/>
  <cp:contentType/>
  <cp:contentStatus/>
</cp:coreProperties>
</file>